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390" windowWidth="13065" windowHeight="9930" firstSheet="2" activeTab="4"/>
  </bookViews>
  <sheets>
    <sheet name="Cidade-ER" sheetId="2" state="hidden" r:id="rId1"/>
    <sheet name="Coeficientes" sheetId="3" state="hidden" r:id="rId2"/>
    <sheet name="Valid. Dados" sheetId="5" r:id="rId3"/>
    <sheet name="Sarjeta" sheetId="4" r:id="rId4"/>
    <sheet name="Planilha de cálculo" sheetId="1" r:id="rId5"/>
  </sheets>
  <definedNames>
    <definedName name="_xlnm.Print_Area" localSheetId="4">'Planilha de cálculo'!$A$2:$AH$30</definedName>
    <definedName name="_xlnm.Print_Area" localSheetId="3">Sarjeta!$B$1:$R$22</definedName>
    <definedName name="_xlnm.Print_Titles" localSheetId="4">'Planilha de cálculo'!$1:$7</definedName>
  </definedNames>
  <calcPr calcId="145621"/>
</workbook>
</file>

<file path=xl/calcChain.xml><?xml version="1.0" encoding="utf-8"?>
<calcChain xmlns="http://schemas.openxmlformats.org/spreadsheetml/2006/main">
  <c r="O11" i="1" l="1"/>
  <c r="N11" i="1"/>
  <c r="M11" i="1"/>
  <c r="O10" i="1"/>
  <c r="N10" i="1"/>
  <c r="M10" i="1"/>
  <c r="J10" i="1"/>
  <c r="O9" i="1"/>
  <c r="N9" i="1"/>
  <c r="M9" i="1"/>
  <c r="J9" i="1"/>
  <c r="J8" i="1"/>
  <c r="K8" i="1" s="1"/>
  <c r="P8" i="1"/>
  <c r="H8" i="1"/>
  <c r="I8" i="1"/>
  <c r="AC150" i="1"/>
  <c r="AC149" i="1"/>
  <c r="AC148" i="1"/>
  <c r="AC147" i="1"/>
  <c r="AC146" i="1"/>
  <c r="AC145" i="1"/>
  <c r="AC144" i="1"/>
  <c r="AC143" i="1"/>
  <c r="AC142" i="1"/>
  <c r="AC141" i="1"/>
  <c r="AC140" i="1"/>
  <c r="AC139" i="1"/>
  <c r="AC138" i="1"/>
  <c r="AC137" i="1"/>
  <c r="AC136" i="1"/>
  <c r="AC135" i="1"/>
  <c r="AC134" i="1"/>
  <c r="AC133" i="1"/>
  <c r="AC132" i="1"/>
  <c r="AC131" i="1"/>
  <c r="AC130" i="1"/>
  <c r="AC129" i="1"/>
  <c r="AC128" i="1"/>
  <c r="AC127" i="1"/>
  <c r="AC126" i="1"/>
  <c r="AC125" i="1"/>
  <c r="AC124" i="1"/>
  <c r="AC123" i="1"/>
  <c r="AC122" i="1"/>
  <c r="AC121" i="1"/>
  <c r="AC120" i="1"/>
  <c r="AC119" i="1"/>
  <c r="AC118" i="1"/>
  <c r="AC117" i="1"/>
  <c r="AC116" i="1"/>
  <c r="AC115" i="1"/>
  <c r="AC114" i="1"/>
  <c r="AC113" i="1"/>
  <c r="AC112" i="1"/>
  <c r="AC111" i="1"/>
  <c r="AC110" i="1"/>
  <c r="AC109" i="1"/>
  <c r="AC108" i="1"/>
  <c r="AC107" i="1"/>
  <c r="AC106" i="1"/>
  <c r="AC105" i="1"/>
  <c r="AC104" i="1"/>
  <c r="AC103" i="1"/>
  <c r="AC102" i="1"/>
  <c r="AC101" i="1"/>
  <c r="AC100" i="1"/>
  <c r="AC99" i="1"/>
  <c r="AC98" i="1"/>
  <c r="AC97" i="1"/>
  <c r="AC96" i="1"/>
  <c r="AC95" i="1"/>
  <c r="AC94" i="1"/>
  <c r="AC93" i="1"/>
  <c r="AC92" i="1"/>
  <c r="AC91" i="1"/>
  <c r="AC90" i="1"/>
  <c r="AC89" i="1"/>
  <c r="AC88" i="1"/>
  <c r="AC87" i="1"/>
  <c r="AC86" i="1"/>
  <c r="AC85" i="1"/>
  <c r="AC84" i="1"/>
  <c r="AC83" i="1"/>
  <c r="AC82" i="1"/>
  <c r="AC81" i="1"/>
  <c r="AC80" i="1"/>
  <c r="AC79" i="1"/>
  <c r="AC78" i="1"/>
  <c r="AC77" i="1"/>
  <c r="AC76" i="1"/>
  <c r="AC75" i="1"/>
  <c r="AC74" i="1"/>
  <c r="AC73" i="1"/>
  <c r="AC72" i="1"/>
  <c r="AC71" i="1"/>
  <c r="AC70" i="1"/>
  <c r="AC69" i="1"/>
  <c r="AC68" i="1"/>
  <c r="AC67" i="1"/>
  <c r="AC66" i="1"/>
  <c r="AC65" i="1"/>
  <c r="AC64" i="1"/>
  <c r="AC63" i="1"/>
  <c r="AC62" i="1"/>
  <c r="AC61" i="1"/>
  <c r="AC60" i="1"/>
  <c r="AC59" i="1"/>
  <c r="AC58" i="1"/>
  <c r="AC57" i="1"/>
  <c r="AC56" i="1"/>
  <c r="AC55" i="1"/>
  <c r="AC54" i="1"/>
  <c r="AC53" i="1"/>
  <c r="AC52" i="1"/>
  <c r="AC51" i="1"/>
  <c r="AC50" i="1"/>
  <c r="AC49" i="1"/>
  <c r="AC48" i="1"/>
  <c r="AC47" i="1"/>
  <c r="AC46" i="1"/>
  <c r="AC45" i="1"/>
  <c r="AC44" i="1"/>
  <c r="AC43" i="1"/>
  <c r="AC42" i="1"/>
  <c r="AC41" i="1"/>
  <c r="AC40" i="1"/>
  <c r="AC39" i="1"/>
  <c r="AC38" i="1"/>
  <c r="AC37" i="1"/>
  <c r="AC36" i="1"/>
  <c r="AC35" i="1"/>
  <c r="AC34" i="1"/>
  <c r="AC33" i="1"/>
  <c r="AC32" i="1"/>
  <c r="AC31" i="1"/>
  <c r="AC30" i="1"/>
  <c r="AC29" i="1"/>
  <c r="AC28" i="1"/>
  <c r="AC27" i="1"/>
  <c r="AC26" i="1"/>
  <c r="AC25" i="1"/>
  <c r="AC24" i="1"/>
  <c r="AC23" i="1"/>
  <c r="AC22" i="1"/>
  <c r="AC21" i="1"/>
  <c r="AC20" i="1"/>
  <c r="AC19" i="1"/>
  <c r="AC18" i="1"/>
  <c r="AC17" i="1"/>
  <c r="AC16" i="1"/>
  <c r="AC15" i="1"/>
  <c r="AC14" i="1"/>
  <c r="AC13" i="1"/>
  <c r="AC12" i="1"/>
  <c r="C14" i="4"/>
  <c r="AF150" i="1"/>
  <c r="AF149" i="1"/>
  <c r="AF148" i="1"/>
  <c r="AF147" i="1"/>
  <c r="AF146" i="1"/>
  <c r="AF145" i="1"/>
  <c r="AF144" i="1"/>
  <c r="AF143" i="1"/>
  <c r="AF142" i="1"/>
  <c r="AF141" i="1"/>
  <c r="AF140" i="1"/>
  <c r="AF139" i="1"/>
  <c r="AF138" i="1"/>
  <c r="AF137" i="1"/>
  <c r="AF136" i="1"/>
  <c r="AF135" i="1"/>
  <c r="AF134" i="1"/>
  <c r="AF133" i="1"/>
  <c r="AF132" i="1"/>
  <c r="AF131" i="1"/>
  <c r="AF130" i="1"/>
  <c r="AF129" i="1"/>
  <c r="AF128" i="1"/>
  <c r="AF127" i="1"/>
  <c r="AF126" i="1"/>
  <c r="AF125" i="1"/>
  <c r="AF124" i="1"/>
  <c r="AF123" i="1"/>
  <c r="AF122" i="1"/>
  <c r="AF121" i="1"/>
  <c r="AF120" i="1"/>
  <c r="AF119" i="1"/>
  <c r="AF118" i="1"/>
  <c r="AF117" i="1"/>
  <c r="AF116" i="1"/>
  <c r="AF115" i="1"/>
  <c r="AF114" i="1"/>
  <c r="AF113" i="1"/>
  <c r="AF112" i="1"/>
  <c r="AF111" i="1"/>
  <c r="AF110" i="1"/>
  <c r="AF109" i="1"/>
  <c r="AF108" i="1"/>
  <c r="AF107" i="1"/>
  <c r="AF106" i="1"/>
  <c r="AF105" i="1"/>
  <c r="AF104" i="1"/>
  <c r="AF103" i="1"/>
  <c r="AF102" i="1"/>
  <c r="AF101" i="1"/>
  <c r="AF100" i="1"/>
  <c r="AF99" i="1"/>
  <c r="AF98" i="1"/>
  <c r="AF97" i="1"/>
  <c r="AF96" i="1"/>
  <c r="AF95" i="1"/>
  <c r="AF94" i="1"/>
  <c r="AF93" i="1"/>
  <c r="AF92" i="1"/>
  <c r="AF91" i="1"/>
  <c r="AF90" i="1"/>
  <c r="AF89" i="1"/>
  <c r="AF88" i="1"/>
  <c r="AF87" i="1"/>
  <c r="AF86" i="1"/>
  <c r="AF85" i="1"/>
  <c r="AF84" i="1"/>
  <c r="AF83" i="1"/>
  <c r="AF82" i="1"/>
  <c r="AF81" i="1"/>
  <c r="AF80" i="1"/>
  <c r="AF79" i="1"/>
  <c r="AF78" i="1"/>
  <c r="AF77" i="1"/>
  <c r="AF76" i="1"/>
  <c r="AF75" i="1"/>
  <c r="AF74" i="1"/>
  <c r="AF73" i="1"/>
  <c r="AF72" i="1"/>
  <c r="AF71" i="1"/>
  <c r="AF70" i="1"/>
  <c r="AF69" i="1"/>
  <c r="AF68" i="1"/>
  <c r="AF67" i="1"/>
  <c r="AF66" i="1"/>
  <c r="AF65" i="1"/>
  <c r="AF64" i="1"/>
  <c r="AF63" i="1"/>
  <c r="AF62" i="1"/>
  <c r="AF61" i="1"/>
  <c r="AF60" i="1"/>
  <c r="AF59" i="1"/>
  <c r="AF58" i="1"/>
  <c r="AF57" i="1"/>
  <c r="AF56" i="1"/>
  <c r="AF55" i="1"/>
  <c r="AF54" i="1"/>
  <c r="AF53" i="1"/>
  <c r="AF52" i="1"/>
  <c r="AF51" i="1"/>
  <c r="AF50" i="1"/>
  <c r="AF49" i="1"/>
  <c r="AF48" i="1"/>
  <c r="AF47" i="1"/>
  <c r="AF46" i="1"/>
  <c r="AF45" i="1"/>
  <c r="AF44" i="1"/>
  <c r="AF43" i="1"/>
  <c r="AF42" i="1"/>
  <c r="AF41" i="1"/>
  <c r="AF40" i="1"/>
  <c r="AF39" i="1"/>
  <c r="AF38" i="1"/>
  <c r="AF37" i="1"/>
  <c r="AF36" i="1"/>
  <c r="AF35" i="1"/>
  <c r="AF34" i="1"/>
  <c r="AF33" i="1"/>
  <c r="AF32" i="1"/>
  <c r="AF31" i="1"/>
  <c r="AF30" i="1"/>
  <c r="AF29" i="1"/>
  <c r="AF28" i="1"/>
  <c r="AF27" i="1"/>
  <c r="AF26" i="1"/>
  <c r="AF25" i="1"/>
  <c r="AF24" i="1"/>
  <c r="AF23" i="1"/>
  <c r="AF22" i="1"/>
  <c r="AF21" i="1"/>
  <c r="AF20" i="1"/>
  <c r="AF19" i="1"/>
  <c r="AF18" i="1"/>
  <c r="AF17" i="1"/>
  <c r="AF16" i="1"/>
  <c r="AF15" i="1"/>
  <c r="AF14" i="1"/>
  <c r="AF13" i="1"/>
  <c r="AF12" i="1"/>
  <c r="C9" i="4"/>
  <c r="C15" i="4" s="1"/>
  <c r="C8" i="4"/>
  <c r="C7" i="4"/>
  <c r="C6" i="4"/>
  <c r="C5" i="4"/>
  <c r="AG150" i="1"/>
  <c r="AG149" i="1"/>
  <c r="AG148" i="1"/>
  <c r="AG147" i="1"/>
  <c r="AG146" i="1"/>
  <c r="AG145" i="1"/>
  <c r="AG144" i="1"/>
  <c r="AG143" i="1"/>
  <c r="AG142" i="1"/>
  <c r="AG141" i="1"/>
  <c r="AG140" i="1"/>
  <c r="AG139" i="1"/>
  <c r="AG138" i="1"/>
  <c r="AG137" i="1"/>
  <c r="AG136" i="1"/>
  <c r="AG135" i="1"/>
  <c r="AG134" i="1"/>
  <c r="AG133" i="1"/>
  <c r="AG132" i="1"/>
  <c r="AG131" i="1"/>
  <c r="AG130" i="1"/>
  <c r="AG129" i="1"/>
  <c r="AG128" i="1"/>
  <c r="AG127" i="1"/>
  <c r="AG126" i="1"/>
  <c r="AG125" i="1"/>
  <c r="AG124" i="1"/>
  <c r="AG123" i="1"/>
  <c r="AG122" i="1"/>
  <c r="AG121" i="1"/>
  <c r="AG120" i="1"/>
  <c r="AG119" i="1"/>
  <c r="AG118" i="1"/>
  <c r="AG117" i="1"/>
  <c r="AG116" i="1"/>
  <c r="AG115" i="1"/>
  <c r="AG114" i="1"/>
  <c r="AG113" i="1"/>
  <c r="AG112" i="1"/>
  <c r="AG111" i="1"/>
  <c r="AG110" i="1"/>
  <c r="AG109" i="1"/>
  <c r="AG108" i="1"/>
  <c r="AG107" i="1"/>
  <c r="AG106" i="1"/>
  <c r="AG105" i="1"/>
  <c r="AG104" i="1"/>
  <c r="AG103" i="1"/>
  <c r="AG102" i="1"/>
  <c r="AG101" i="1"/>
  <c r="AG100" i="1"/>
  <c r="AG99" i="1"/>
  <c r="AG98" i="1"/>
  <c r="AG97" i="1"/>
  <c r="AG96" i="1"/>
  <c r="AG95" i="1"/>
  <c r="AG94" i="1"/>
  <c r="AG93" i="1"/>
  <c r="AG92" i="1"/>
  <c r="AG91" i="1"/>
  <c r="AG90" i="1"/>
  <c r="AG89" i="1"/>
  <c r="AG88" i="1"/>
  <c r="AG87" i="1"/>
  <c r="AG86" i="1"/>
  <c r="AG85" i="1"/>
  <c r="AG84" i="1"/>
  <c r="AG83" i="1"/>
  <c r="AG82" i="1"/>
  <c r="AG81" i="1"/>
  <c r="AG80" i="1"/>
  <c r="AG79" i="1"/>
  <c r="AG78" i="1"/>
  <c r="AG77" i="1"/>
  <c r="AG76" i="1"/>
  <c r="AG75" i="1"/>
  <c r="AG74" i="1"/>
  <c r="AG73" i="1"/>
  <c r="AG72" i="1"/>
  <c r="AG71" i="1"/>
  <c r="AG70" i="1"/>
  <c r="AG69" i="1"/>
  <c r="AG68" i="1"/>
  <c r="AG67" i="1"/>
  <c r="AG66" i="1"/>
  <c r="AG65" i="1"/>
  <c r="AG64" i="1"/>
  <c r="AG63" i="1"/>
  <c r="AG62" i="1"/>
  <c r="AG61" i="1"/>
  <c r="AG60" i="1"/>
  <c r="AG59" i="1"/>
  <c r="AG58" i="1"/>
  <c r="AG57" i="1"/>
  <c r="AG56" i="1"/>
  <c r="AG55" i="1"/>
  <c r="AG54" i="1"/>
  <c r="AG53" i="1"/>
  <c r="AG52" i="1"/>
  <c r="AG51" i="1"/>
  <c r="AG50" i="1"/>
  <c r="AG49" i="1"/>
  <c r="AG48" i="1"/>
  <c r="AG47" i="1"/>
  <c r="AG46" i="1"/>
  <c r="AG45" i="1"/>
  <c r="AG44" i="1"/>
  <c r="AG43" i="1"/>
  <c r="AG42" i="1"/>
  <c r="AG41" i="1"/>
  <c r="AG40" i="1"/>
  <c r="AG39" i="1"/>
  <c r="AG38" i="1"/>
  <c r="AG37" i="1"/>
  <c r="AG36" i="1"/>
  <c r="AG35" i="1"/>
  <c r="AG34" i="1"/>
  <c r="AG33" i="1"/>
  <c r="AG32" i="1"/>
  <c r="AG31" i="1"/>
  <c r="AG30" i="1"/>
  <c r="AG29" i="1"/>
  <c r="AG28" i="1"/>
  <c r="AG27" i="1"/>
  <c r="AG26" i="1"/>
  <c r="AG25" i="1"/>
  <c r="AG24" i="1"/>
  <c r="AG23" i="1"/>
  <c r="AG22" i="1"/>
  <c r="AG21" i="1"/>
  <c r="AG20" i="1"/>
  <c r="AG19" i="1"/>
  <c r="AG18" i="1"/>
  <c r="AG17" i="1"/>
  <c r="AG16" i="1"/>
  <c r="AG15" i="1"/>
  <c r="AG14" i="1"/>
  <c r="AG13" i="1"/>
  <c r="AG12" i="1"/>
  <c r="U8" i="1"/>
  <c r="S8" i="1"/>
  <c r="S9" i="1" s="1"/>
  <c r="S10" i="1" s="1"/>
  <c r="T8" i="1"/>
  <c r="H9" i="1"/>
  <c r="I9" i="1"/>
  <c r="K9" i="1"/>
  <c r="AA9" i="1" s="1"/>
  <c r="P9" i="1"/>
  <c r="U9" i="1" s="1"/>
  <c r="T9" i="1"/>
  <c r="H10" i="1"/>
  <c r="I10" i="1"/>
  <c r="K10" i="1"/>
  <c r="P10" i="1"/>
  <c r="U10" i="1" s="1"/>
  <c r="T10" i="1"/>
  <c r="AA10" i="1"/>
  <c r="AB10" i="1"/>
  <c r="H11" i="1"/>
  <c r="I11" i="1"/>
  <c r="K11" i="1"/>
  <c r="AA11" i="1" s="1"/>
  <c r="P11" i="1"/>
  <c r="S11" i="1"/>
  <c r="S12" i="1"/>
  <c r="T11" i="1"/>
  <c r="U11" i="1"/>
  <c r="AQ11" i="1" s="1"/>
  <c r="V11" i="1" s="1"/>
  <c r="H12" i="1"/>
  <c r="I12" i="1"/>
  <c r="L12" i="1"/>
  <c r="K12" i="1"/>
  <c r="P12" i="1"/>
  <c r="U12" i="1"/>
  <c r="T12" i="1"/>
  <c r="AA12" i="1"/>
  <c r="AB12" i="1"/>
  <c r="AM12" i="1"/>
  <c r="H13" i="1"/>
  <c r="I13" i="1"/>
  <c r="K13" i="1"/>
  <c r="L13" i="1"/>
  <c r="P13" i="1"/>
  <c r="S13" i="1"/>
  <c r="T13" i="1"/>
  <c r="U13" i="1"/>
  <c r="V13" i="1"/>
  <c r="W13" i="1"/>
  <c r="X13" i="1"/>
  <c r="Y13" i="1"/>
  <c r="Z13" i="1"/>
  <c r="AA13" i="1"/>
  <c r="AB13" i="1"/>
  <c r="AJ13" i="1"/>
  <c r="AK13" i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BB13" i="1"/>
  <c r="H14" i="1"/>
  <c r="I14" i="1"/>
  <c r="K14" i="1"/>
  <c r="L14" i="1"/>
  <c r="P14" i="1"/>
  <c r="S14" i="1"/>
  <c r="T14" i="1"/>
  <c r="U14" i="1"/>
  <c r="V14" i="1"/>
  <c r="W14" i="1"/>
  <c r="X14" i="1"/>
  <c r="Y14" i="1"/>
  <c r="Z14" i="1"/>
  <c r="AA14" i="1"/>
  <c r="AB14" i="1"/>
  <c r="AJ14" i="1"/>
  <c r="AK14" i="1"/>
  <c r="AL14" i="1"/>
  <c r="AM14" i="1"/>
  <c r="AN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BA14" i="1"/>
  <c r="BB14" i="1"/>
  <c r="H15" i="1"/>
  <c r="I15" i="1"/>
  <c r="K15" i="1"/>
  <c r="L15" i="1"/>
  <c r="P15" i="1"/>
  <c r="S15" i="1"/>
  <c r="T15" i="1"/>
  <c r="U15" i="1"/>
  <c r="V15" i="1"/>
  <c r="W15" i="1"/>
  <c r="X15" i="1"/>
  <c r="Y15" i="1"/>
  <c r="Z15" i="1"/>
  <c r="AA15" i="1"/>
  <c r="AB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BB15" i="1"/>
  <c r="H16" i="1"/>
  <c r="I16" i="1"/>
  <c r="K16" i="1"/>
  <c r="L16" i="1"/>
  <c r="P16" i="1"/>
  <c r="S16" i="1"/>
  <c r="T16" i="1"/>
  <c r="U16" i="1"/>
  <c r="V16" i="1"/>
  <c r="W16" i="1"/>
  <c r="X16" i="1"/>
  <c r="Y16" i="1"/>
  <c r="Z16" i="1"/>
  <c r="AA16" i="1"/>
  <c r="AB16" i="1"/>
  <c r="AJ16" i="1"/>
  <c r="AK16" i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BA16" i="1"/>
  <c r="BB16" i="1"/>
  <c r="H17" i="1"/>
  <c r="I17" i="1"/>
  <c r="K17" i="1"/>
  <c r="L17" i="1"/>
  <c r="P17" i="1"/>
  <c r="S17" i="1"/>
  <c r="T17" i="1"/>
  <c r="U17" i="1"/>
  <c r="V17" i="1"/>
  <c r="W17" i="1"/>
  <c r="X17" i="1"/>
  <c r="Y17" i="1"/>
  <c r="Z17" i="1"/>
  <c r="AA17" i="1"/>
  <c r="AB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BB17" i="1"/>
  <c r="H18" i="1"/>
  <c r="I18" i="1"/>
  <c r="K18" i="1"/>
  <c r="L18" i="1"/>
  <c r="P18" i="1"/>
  <c r="S18" i="1"/>
  <c r="T18" i="1"/>
  <c r="U18" i="1"/>
  <c r="V18" i="1"/>
  <c r="W18" i="1"/>
  <c r="X18" i="1"/>
  <c r="Y18" i="1"/>
  <c r="Z18" i="1"/>
  <c r="AA18" i="1"/>
  <c r="AB18" i="1"/>
  <c r="AJ18" i="1"/>
  <c r="AK18" i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BA18" i="1"/>
  <c r="BB18" i="1"/>
  <c r="H19" i="1"/>
  <c r="I19" i="1"/>
  <c r="K19" i="1"/>
  <c r="L19" i="1"/>
  <c r="P19" i="1"/>
  <c r="S19" i="1"/>
  <c r="T19" i="1"/>
  <c r="U19" i="1"/>
  <c r="V19" i="1"/>
  <c r="W19" i="1"/>
  <c r="X19" i="1"/>
  <c r="Y19" i="1"/>
  <c r="Z19" i="1"/>
  <c r="AA19" i="1"/>
  <c r="AB19" i="1"/>
  <c r="AJ19" i="1"/>
  <c r="AK19" i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BA19" i="1"/>
  <c r="BB19" i="1"/>
  <c r="H20" i="1"/>
  <c r="I20" i="1"/>
  <c r="K20" i="1"/>
  <c r="L20" i="1"/>
  <c r="P20" i="1"/>
  <c r="S20" i="1"/>
  <c r="T20" i="1"/>
  <c r="U20" i="1"/>
  <c r="V20" i="1"/>
  <c r="W20" i="1"/>
  <c r="X20" i="1"/>
  <c r="Y20" i="1"/>
  <c r="Z20" i="1"/>
  <c r="AA20" i="1"/>
  <c r="AB20" i="1"/>
  <c r="AJ20" i="1"/>
  <c r="AK20" i="1"/>
  <c r="AL20" i="1"/>
  <c r="AM20" i="1"/>
  <c r="AN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BA20" i="1"/>
  <c r="BB20" i="1"/>
  <c r="H21" i="1"/>
  <c r="I21" i="1"/>
  <c r="K21" i="1"/>
  <c r="L21" i="1"/>
  <c r="P21" i="1"/>
  <c r="S21" i="1"/>
  <c r="T21" i="1"/>
  <c r="U21" i="1"/>
  <c r="V21" i="1"/>
  <c r="W21" i="1"/>
  <c r="X21" i="1"/>
  <c r="Y21" i="1"/>
  <c r="Z21" i="1"/>
  <c r="AA21" i="1"/>
  <c r="AB21" i="1"/>
  <c r="AJ21" i="1"/>
  <c r="AK21" i="1"/>
  <c r="AL21" i="1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BB21" i="1"/>
  <c r="H22" i="1"/>
  <c r="I22" i="1"/>
  <c r="K22" i="1"/>
  <c r="L22" i="1"/>
  <c r="P22" i="1"/>
  <c r="S22" i="1"/>
  <c r="T22" i="1"/>
  <c r="U22" i="1"/>
  <c r="V22" i="1"/>
  <c r="W22" i="1"/>
  <c r="X22" i="1"/>
  <c r="Y22" i="1"/>
  <c r="Z22" i="1"/>
  <c r="AA22" i="1"/>
  <c r="AB22" i="1"/>
  <c r="AJ22" i="1"/>
  <c r="AK22" i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BA22" i="1"/>
  <c r="BB22" i="1"/>
  <c r="H23" i="1"/>
  <c r="I23" i="1"/>
  <c r="K23" i="1"/>
  <c r="L23" i="1"/>
  <c r="P23" i="1"/>
  <c r="S23" i="1"/>
  <c r="T23" i="1"/>
  <c r="U23" i="1"/>
  <c r="V23" i="1"/>
  <c r="W23" i="1"/>
  <c r="X23" i="1"/>
  <c r="Y23" i="1"/>
  <c r="Z23" i="1"/>
  <c r="AA23" i="1"/>
  <c r="AB23" i="1"/>
  <c r="AJ23" i="1"/>
  <c r="AK23" i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BA23" i="1"/>
  <c r="BB23" i="1"/>
  <c r="H24" i="1"/>
  <c r="I24" i="1"/>
  <c r="K24" i="1"/>
  <c r="L24" i="1"/>
  <c r="P24" i="1"/>
  <c r="S24" i="1"/>
  <c r="T24" i="1"/>
  <c r="U24" i="1"/>
  <c r="V24" i="1"/>
  <c r="W24" i="1"/>
  <c r="X24" i="1"/>
  <c r="Y24" i="1"/>
  <c r="Z24" i="1"/>
  <c r="AA24" i="1"/>
  <c r="AB24" i="1"/>
  <c r="AJ24" i="1"/>
  <c r="AK24" i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BA24" i="1"/>
  <c r="BB24" i="1"/>
  <c r="H25" i="1"/>
  <c r="I25" i="1"/>
  <c r="K25" i="1"/>
  <c r="L25" i="1"/>
  <c r="P25" i="1"/>
  <c r="S25" i="1"/>
  <c r="T25" i="1"/>
  <c r="U25" i="1"/>
  <c r="V25" i="1"/>
  <c r="W25" i="1"/>
  <c r="X25" i="1"/>
  <c r="Y25" i="1"/>
  <c r="Z25" i="1"/>
  <c r="AA25" i="1"/>
  <c r="AB25" i="1"/>
  <c r="AJ25" i="1"/>
  <c r="AK25" i="1"/>
  <c r="AL25" i="1"/>
  <c r="AM25" i="1"/>
  <c r="AN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BA25" i="1"/>
  <c r="BB25" i="1"/>
  <c r="H26" i="1"/>
  <c r="I26" i="1"/>
  <c r="K26" i="1"/>
  <c r="L26" i="1"/>
  <c r="P26" i="1"/>
  <c r="S26" i="1"/>
  <c r="T26" i="1"/>
  <c r="U26" i="1"/>
  <c r="V26" i="1"/>
  <c r="W26" i="1"/>
  <c r="X26" i="1"/>
  <c r="Y26" i="1"/>
  <c r="Z26" i="1"/>
  <c r="AA26" i="1"/>
  <c r="AB26" i="1"/>
  <c r="AJ26" i="1"/>
  <c r="AK26" i="1"/>
  <c r="AL26" i="1"/>
  <c r="AM26" i="1"/>
  <c r="AN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BA26" i="1"/>
  <c r="BB26" i="1"/>
  <c r="H27" i="1"/>
  <c r="I27" i="1"/>
  <c r="K27" i="1"/>
  <c r="L27" i="1"/>
  <c r="P27" i="1"/>
  <c r="S27" i="1"/>
  <c r="T27" i="1"/>
  <c r="U27" i="1"/>
  <c r="V27" i="1"/>
  <c r="W27" i="1"/>
  <c r="X27" i="1"/>
  <c r="Y27" i="1"/>
  <c r="Z27" i="1"/>
  <c r="AA27" i="1"/>
  <c r="AB27" i="1"/>
  <c r="AJ27" i="1"/>
  <c r="AK27" i="1"/>
  <c r="AL27" i="1"/>
  <c r="AM27" i="1"/>
  <c r="AN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BA27" i="1"/>
  <c r="BB27" i="1"/>
  <c r="H28" i="1"/>
  <c r="I28" i="1"/>
  <c r="K28" i="1"/>
  <c r="L28" i="1"/>
  <c r="P28" i="1"/>
  <c r="S28" i="1"/>
  <c r="T28" i="1"/>
  <c r="U28" i="1"/>
  <c r="V28" i="1"/>
  <c r="W28" i="1"/>
  <c r="X28" i="1"/>
  <c r="Y28" i="1"/>
  <c r="Z28" i="1"/>
  <c r="AA28" i="1"/>
  <c r="AB28" i="1"/>
  <c r="AJ28" i="1"/>
  <c r="AK28" i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BB28" i="1"/>
  <c r="H29" i="1"/>
  <c r="I29" i="1"/>
  <c r="K29" i="1"/>
  <c r="L29" i="1"/>
  <c r="P29" i="1"/>
  <c r="S29" i="1"/>
  <c r="T29" i="1"/>
  <c r="U29" i="1"/>
  <c r="V29" i="1"/>
  <c r="W29" i="1"/>
  <c r="X29" i="1"/>
  <c r="Y29" i="1"/>
  <c r="Z29" i="1"/>
  <c r="AA29" i="1"/>
  <c r="AB29" i="1"/>
  <c r="AJ29" i="1"/>
  <c r="AK29" i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BB29" i="1"/>
  <c r="H30" i="1"/>
  <c r="I30" i="1"/>
  <c r="K30" i="1"/>
  <c r="L30" i="1"/>
  <c r="P30" i="1"/>
  <c r="S30" i="1"/>
  <c r="T30" i="1"/>
  <c r="U30" i="1"/>
  <c r="V30" i="1"/>
  <c r="W30" i="1"/>
  <c r="X30" i="1"/>
  <c r="Y30" i="1"/>
  <c r="Z30" i="1"/>
  <c r="AA30" i="1"/>
  <c r="AB30" i="1"/>
  <c r="AJ30" i="1"/>
  <c r="AK30" i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BB30" i="1"/>
  <c r="H31" i="1"/>
  <c r="I31" i="1"/>
  <c r="K31" i="1"/>
  <c r="L31" i="1"/>
  <c r="P31" i="1"/>
  <c r="S31" i="1"/>
  <c r="T31" i="1"/>
  <c r="U31" i="1"/>
  <c r="V31" i="1"/>
  <c r="W31" i="1"/>
  <c r="X31" i="1"/>
  <c r="Y31" i="1"/>
  <c r="Z31" i="1"/>
  <c r="AA31" i="1"/>
  <c r="AB31" i="1"/>
  <c r="AJ31" i="1"/>
  <c r="AK31" i="1"/>
  <c r="AL31" i="1"/>
  <c r="AM31" i="1"/>
  <c r="AN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BA31" i="1"/>
  <c r="BB31" i="1"/>
  <c r="H32" i="1"/>
  <c r="I32" i="1"/>
  <c r="K32" i="1"/>
  <c r="L32" i="1"/>
  <c r="P32" i="1"/>
  <c r="S32" i="1"/>
  <c r="T32" i="1"/>
  <c r="U32" i="1"/>
  <c r="V32" i="1"/>
  <c r="W32" i="1"/>
  <c r="X32" i="1"/>
  <c r="Y32" i="1"/>
  <c r="Z32" i="1"/>
  <c r="AA32" i="1"/>
  <c r="AB32" i="1"/>
  <c r="AJ32" i="1"/>
  <c r="AK32" i="1"/>
  <c r="AL32" i="1"/>
  <c r="AM32" i="1"/>
  <c r="AN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BA32" i="1"/>
  <c r="BB32" i="1"/>
  <c r="H33" i="1"/>
  <c r="I33" i="1"/>
  <c r="K33" i="1"/>
  <c r="L33" i="1"/>
  <c r="P33" i="1"/>
  <c r="S33" i="1"/>
  <c r="T33" i="1"/>
  <c r="U33" i="1"/>
  <c r="V33" i="1"/>
  <c r="W33" i="1"/>
  <c r="X33" i="1"/>
  <c r="Y33" i="1"/>
  <c r="Z33" i="1"/>
  <c r="AA33" i="1"/>
  <c r="AB33" i="1"/>
  <c r="AJ33" i="1"/>
  <c r="AK33" i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BB33" i="1"/>
  <c r="H34" i="1"/>
  <c r="I34" i="1"/>
  <c r="K34" i="1"/>
  <c r="L34" i="1"/>
  <c r="P34" i="1"/>
  <c r="S34" i="1"/>
  <c r="T34" i="1"/>
  <c r="U34" i="1"/>
  <c r="V34" i="1"/>
  <c r="W34" i="1"/>
  <c r="X34" i="1"/>
  <c r="Y34" i="1"/>
  <c r="Z34" i="1"/>
  <c r="AA34" i="1"/>
  <c r="AB34" i="1"/>
  <c r="AJ34" i="1"/>
  <c r="AK34" i="1"/>
  <c r="AL34" i="1"/>
  <c r="AM34" i="1"/>
  <c r="AN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BA34" i="1"/>
  <c r="BB34" i="1"/>
  <c r="H35" i="1"/>
  <c r="I35" i="1"/>
  <c r="K35" i="1"/>
  <c r="L35" i="1"/>
  <c r="P35" i="1"/>
  <c r="S35" i="1"/>
  <c r="T35" i="1"/>
  <c r="U35" i="1"/>
  <c r="V35" i="1"/>
  <c r="W35" i="1"/>
  <c r="X35" i="1"/>
  <c r="Y35" i="1"/>
  <c r="Z35" i="1"/>
  <c r="AA35" i="1"/>
  <c r="AB35" i="1"/>
  <c r="AJ35" i="1"/>
  <c r="AK35" i="1"/>
  <c r="AL35" i="1"/>
  <c r="AM35" i="1"/>
  <c r="AN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BA35" i="1"/>
  <c r="BB35" i="1"/>
  <c r="H36" i="1"/>
  <c r="I36" i="1"/>
  <c r="K36" i="1"/>
  <c r="L36" i="1"/>
  <c r="P36" i="1"/>
  <c r="S36" i="1"/>
  <c r="T36" i="1"/>
  <c r="U36" i="1"/>
  <c r="V36" i="1"/>
  <c r="W36" i="1"/>
  <c r="X36" i="1"/>
  <c r="Y36" i="1"/>
  <c r="Z36" i="1"/>
  <c r="AA36" i="1"/>
  <c r="AB36" i="1"/>
  <c r="AJ36" i="1"/>
  <c r="AK36" i="1"/>
  <c r="AL36" i="1"/>
  <c r="AM36" i="1"/>
  <c r="AN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BA36" i="1"/>
  <c r="BB36" i="1"/>
  <c r="H37" i="1"/>
  <c r="I37" i="1"/>
  <c r="K37" i="1"/>
  <c r="L37" i="1"/>
  <c r="P37" i="1"/>
  <c r="S37" i="1"/>
  <c r="T37" i="1"/>
  <c r="U37" i="1"/>
  <c r="V37" i="1"/>
  <c r="W37" i="1"/>
  <c r="X37" i="1"/>
  <c r="Y37" i="1"/>
  <c r="Z37" i="1"/>
  <c r="AA37" i="1"/>
  <c r="AB37" i="1"/>
  <c r="AJ37" i="1"/>
  <c r="AK37" i="1"/>
  <c r="AL37" i="1"/>
  <c r="AM37" i="1"/>
  <c r="AN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BA37" i="1"/>
  <c r="BB37" i="1"/>
  <c r="H38" i="1"/>
  <c r="I38" i="1"/>
  <c r="K38" i="1"/>
  <c r="L38" i="1"/>
  <c r="P38" i="1"/>
  <c r="S38" i="1"/>
  <c r="T38" i="1"/>
  <c r="U38" i="1"/>
  <c r="V38" i="1"/>
  <c r="W38" i="1"/>
  <c r="X38" i="1"/>
  <c r="Y38" i="1"/>
  <c r="Z38" i="1"/>
  <c r="AA38" i="1"/>
  <c r="AB38" i="1"/>
  <c r="AJ38" i="1"/>
  <c r="AK38" i="1"/>
  <c r="AL38" i="1"/>
  <c r="AM38" i="1"/>
  <c r="AN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BA38" i="1"/>
  <c r="BB38" i="1"/>
  <c r="H39" i="1"/>
  <c r="I39" i="1"/>
  <c r="K39" i="1"/>
  <c r="L39" i="1"/>
  <c r="P39" i="1"/>
  <c r="S39" i="1"/>
  <c r="T39" i="1"/>
  <c r="U39" i="1"/>
  <c r="V39" i="1"/>
  <c r="W39" i="1"/>
  <c r="X39" i="1"/>
  <c r="Y39" i="1"/>
  <c r="Z39" i="1"/>
  <c r="AA39" i="1"/>
  <c r="AB39" i="1"/>
  <c r="AJ39" i="1"/>
  <c r="AK39" i="1"/>
  <c r="AL39" i="1"/>
  <c r="AM39" i="1"/>
  <c r="AN39" i="1"/>
  <c r="AO39" i="1"/>
  <c r="AP39" i="1"/>
  <c r="AQ39" i="1"/>
  <c r="AR39" i="1"/>
  <c r="AS39" i="1"/>
  <c r="AT39" i="1"/>
  <c r="AU39" i="1"/>
  <c r="AV39" i="1"/>
  <c r="AW39" i="1"/>
  <c r="AX39" i="1"/>
  <c r="AY39" i="1"/>
  <c r="AZ39" i="1"/>
  <c r="BA39" i="1"/>
  <c r="BB39" i="1"/>
  <c r="H40" i="1"/>
  <c r="I40" i="1"/>
  <c r="K40" i="1"/>
  <c r="L40" i="1"/>
  <c r="P40" i="1"/>
  <c r="S40" i="1"/>
  <c r="T40" i="1"/>
  <c r="U40" i="1"/>
  <c r="V40" i="1"/>
  <c r="W40" i="1"/>
  <c r="X40" i="1"/>
  <c r="Y40" i="1"/>
  <c r="Z40" i="1"/>
  <c r="AA40" i="1"/>
  <c r="AB40" i="1"/>
  <c r="AJ40" i="1"/>
  <c r="AK40" i="1"/>
  <c r="AL40" i="1"/>
  <c r="AM40" i="1"/>
  <c r="AN40" i="1"/>
  <c r="AO40" i="1"/>
  <c r="AP40" i="1"/>
  <c r="AQ40" i="1"/>
  <c r="AR40" i="1"/>
  <c r="AS40" i="1"/>
  <c r="AT40" i="1"/>
  <c r="AU40" i="1"/>
  <c r="AV40" i="1"/>
  <c r="AW40" i="1"/>
  <c r="AX40" i="1"/>
  <c r="AY40" i="1"/>
  <c r="AZ40" i="1"/>
  <c r="BA40" i="1"/>
  <c r="BB40" i="1"/>
  <c r="H41" i="1"/>
  <c r="I41" i="1"/>
  <c r="K41" i="1"/>
  <c r="L41" i="1"/>
  <c r="P41" i="1"/>
  <c r="S41" i="1"/>
  <c r="T41" i="1"/>
  <c r="U41" i="1"/>
  <c r="V41" i="1"/>
  <c r="W41" i="1"/>
  <c r="X41" i="1"/>
  <c r="Y41" i="1"/>
  <c r="Z41" i="1"/>
  <c r="AA41" i="1"/>
  <c r="AB41" i="1"/>
  <c r="AJ41" i="1"/>
  <c r="AK41" i="1"/>
  <c r="AL41" i="1"/>
  <c r="AM41" i="1"/>
  <c r="AN41" i="1"/>
  <c r="AO41" i="1"/>
  <c r="AP41" i="1"/>
  <c r="AQ41" i="1"/>
  <c r="AR41" i="1"/>
  <c r="AS41" i="1"/>
  <c r="AT41" i="1"/>
  <c r="AU41" i="1"/>
  <c r="AV41" i="1"/>
  <c r="AW41" i="1"/>
  <c r="AX41" i="1"/>
  <c r="AY41" i="1"/>
  <c r="AZ41" i="1"/>
  <c r="BA41" i="1"/>
  <c r="BB41" i="1"/>
  <c r="H42" i="1"/>
  <c r="I42" i="1"/>
  <c r="K42" i="1"/>
  <c r="L42" i="1"/>
  <c r="P42" i="1"/>
  <c r="S42" i="1"/>
  <c r="T42" i="1"/>
  <c r="U42" i="1"/>
  <c r="V42" i="1"/>
  <c r="W42" i="1"/>
  <c r="X42" i="1"/>
  <c r="Y42" i="1"/>
  <c r="Z42" i="1"/>
  <c r="AA42" i="1"/>
  <c r="AB42" i="1"/>
  <c r="AJ42" i="1"/>
  <c r="AK42" i="1"/>
  <c r="AL42" i="1"/>
  <c r="AM42" i="1"/>
  <c r="AN42" i="1"/>
  <c r="AO42" i="1"/>
  <c r="AP42" i="1"/>
  <c r="AQ42" i="1"/>
  <c r="AR42" i="1"/>
  <c r="AS42" i="1"/>
  <c r="AT42" i="1"/>
  <c r="AU42" i="1"/>
  <c r="AV42" i="1"/>
  <c r="AW42" i="1"/>
  <c r="AX42" i="1"/>
  <c r="AY42" i="1"/>
  <c r="AZ42" i="1"/>
  <c r="BA42" i="1"/>
  <c r="BB42" i="1"/>
  <c r="H43" i="1"/>
  <c r="I43" i="1"/>
  <c r="K43" i="1"/>
  <c r="L43" i="1"/>
  <c r="P43" i="1"/>
  <c r="S43" i="1"/>
  <c r="T43" i="1"/>
  <c r="U43" i="1"/>
  <c r="V43" i="1"/>
  <c r="W43" i="1"/>
  <c r="X43" i="1"/>
  <c r="Y43" i="1"/>
  <c r="Z43" i="1"/>
  <c r="AA43" i="1"/>
  <c r="AB43" i="1"/>
  <c r="AJ43" i="1"/>
  <c r="AK43" i="1"/>
  <c r="AL43" i="1"/>
  <c r="AM43" i="1"/>
  <c r="AN43" i="1"/>
  <c r="AO43" i="1"/>
  <c r="AP43" i="1"/>
  <c r="AQ43" i="1"/>
  <c r="AR43" i="1"/>
  <c r="AS43" i="1"/>
  <c r="AT43" i="1"/>
  <c r="AU43" i="1"/>
  <c r="AV43" i="1"/>
  <c r="AW43" i="1"/>
  <c r="AX43" i="1"/>
  <c r="AY43" i="1"/>
  <c r="AZ43" i="1"/>
  <c r="BA43" i="1"/>
  <c r="BB43" i="1"/>
  <c r="H44" i="1"/>
  <c r="I44" i="1"/>
  <c r="K44" i="1"/>
  <c r="L44" i="1"/>
  <c r="P44" i="1"/>
  <c r="S44" i="1"/>
  <c r="T44" i="1"/>
  <c r="U44" i="1"/>
  <c r="V44" i="1"/>
  <c r="W44" i="1"/>
  <c r="X44" i="1"/>
  <c r="Y44" i="1"/>
  <c r="Z44" i="1"/>
  <c r="AA44" i="1"/>
  <c r="AB44" i="1"/>
  <c r="AJ44" i="1"/>
  <c r="AK44" i="1"/>
  <c r="AL44" i="1"/>
  <c r="AM44" i="1"/>
  <c r="AN44" i="1"/>
  <c r="AO44" i="1"/>
  <c r="AP44" i="1"/>
  <c r="AQ44" i="1"/>
  <c r="AR44" i="1"/>
  <c r="AS44" i="1"/>
  <c r="AT44" i="1"/>
  <c r="AU44" i="1"/>
  <c r="AV44" i="1"/>
  <c r="AW44" i="1"/>
  <c r="AX44" i="1"/>
  <c r="AY44" i="1"/>
  <c r="AZ44" i="1"/>
  <c r="BA44" i="1"/>
  <c r="BB44" i="1"/>
  <c r="H45" i="1"/>
  <c r="I45" i="1"/>
  <c r="K45" i="1"/>
  <c r="L45" i="1"/>
  <c r="P45" i="1"/>
  <c r="S45" i="1"/>
  <c r="T45" i="1"/>
  <c r="U45" i="1"/>
  <c r="V45" i="1"/>
  <c r="W45" i="1"/>
  <c r="X45" i="1"/>
  <c r="Y45" i="1"/>
  <c r="Z45" i="1"/>
  <c r="AA45" i="1"/>
  <c r="AB45" i="1"/>
  <c r="AJ45" i="1"/>
  <c r="AK45" i="1"/>
  <c r="AL45" i="1"/>
  <c r="AM45" i="1"/>
  <c r="AN45" i="1"/>
  <c r="AO45" i="1"/>
  <c r="AP45" i="1"/>
  <c r="AQ45" i="1"/>
  <c r="AR45" i="1"/>
  <c r="AS45" i="1"/>
  <c r="AT45" i="1"/>
  <c r="AU45" i="1"/>
  <c r="AV45" i="1"/>
  <c r="AW45" i="1"/>
  <c r="AX45" i="1"/>
  <c r="AY45" i="1"/>
  <c r="AZ45" i="1"/>
  <c r="BA45" i="1"/>
  <c r="BB45" i="1"/>
  <c r="H46" i="1"/>
  <c r="I46" i="1"/>
  <c r="K46" i="1"/>
  <c r="L46" i="1"/>
  <c r="P46" i="1"/>
  <c r="S46" i="1"/>
  <c r="T46" i="1"/>
  <c r="U46" i="1"/>
  <c r="V46" i="1"/>
  <c r="W46" i="1"/>
  <c r="X46" i="1"/>
  <c r="Y46" i="1"/>
  <c r="Z46" i="1"/>
  <c r="AA46" i="1"/>
  <c r="AB46" i="1"/>
  <c r="AJ46" i="1"/>
  <c r="AK46" i="1"/>
  <c r="AL46" i="1"/>
  <c r="AM46" i="1"/>
  <c r="AN46" i="1"/>
  <c r="AO46" i="1"/>
  <c r="AP46" i="1"/>
  <c r="AQ46" i="1"/>
  <c r="AR46" i="1"/>
  <c r="AS46" i="1"/>
  <c r="AT46" i="1"/>
  <c r="AU46" i="1"/>
  <c r="AV46" i="1"/>
  <c r="AW46" i="1"/>
  <c r="AX46" i="1"/>
  <c r="AY46" i="1"/>
  <c r="AZ46" i="1"/>
  <c r="BA46" i="1"/>
  <c r="BB46" i="1"/>
  <c r="H47" i="1"/>
  <c r="I47" i="1"/>
  <c r="K47" i="1"/>
  <c r="L47" i="1"/>
  <c r="P47" i="1"/>
  <c r="S47" i="1"/>
  <c r="T47" i="1"/>
  <c r="U47" i="1"/>
  <c r="V47" i="1"/>
  <c r="W47" i="1"/>
  <c r="X47" i="1"/>
  <c r="Y47" i="1"/>
  <c r="Z47" i="1"/>
  <c r="AA47" i="1"/>
  <c r="AB47" i="1"/>
  <c r="AJ47" i="1"/>
  <c r="AK47" i="1"/>
  <c r="AL47" i="1"/>
  <c r="AM47" i="1"/>
  <c r="AN47" i="1"/>
  <c r="AO47" i="1"/>
  <c r="AP47" i="1"/>
  <c r="AQ47" i="1"/>
  <c r="AR47" i="1"/>
  <c r="AS47" i="1"/>
  <c r="AT47" i="1"/>
  <c r="AU47" i="1"/>
  <c r="AV47" i="1"/>
  <c r="AW47" i="1"/>
  <c r="AX47" i="1"/>
  <c r="AY47" i="1"/>
  <c r="AZ47" i="1"/>
  <c r="BA47" i="1"/>
  <c r="BB47" i="1"/>
  <c r="H48" i="1"/>
  <c r="I48" i="1"/>
  <c r="K48" i="1"/>
  <c r="L48" i="1"/>
  <c r="P48" i="1"/>
  <c r="S48" i="1"/>
  <c r="T48" i="1"/>
  <c r="U48" i="1"/>
  <c r="V48" i="1"/>
  <c r="W48" i="1"/>
  <c r="X48" i="1"/>
  <c r="Y48" i="1"/>
  <c r="Z48" i="1"/>
  <c r="AA48" i="1"/>
  <c r="AB48" i="1"/>
  <c r="AJ48" i="1"/>
  <c r="AK48" i="1"/>
  <c r="AL48" i="1"/>
  <c r="AM48" i="1"/>
  <c r="AN48" i="1"/>
  <c r="AO48" i="1"/>
  <c r="AP48" i="1"/>
  <c r="AQ48" i="1"/>
  <c r="AR48" i="1"/>
  <c r="AS48" i="1"/>
  <c r="AT48" i="1"/>
  <c r="AU48" i="1"/>
  <c r="AV48" i="1"/>
  <c r="AW48" i="1"/>
  <c r="AX48" i="1"/>
  <c r="AY48" i="1"/>
  <c r="AZ48" i="1"/>
  <c r="BA48" i="1"/>
  <c r="BB48" i="1"/>
  <c r="H49" i="1"/>
  <c r="I49" i="1"/>
  <c r="K49" i="1"/>
  <c r="L49" i="1"/>
  <c r="P49" i="1"/>
  <c r="S49" i="1"/>
  <c r="T49" i="1"/>
  <c r="U49" i="1"/>
  <c r="V49" i="1"/>
  <c r="W49" i="1"/>
  <c r="X49" i="1"/>
  <c r="Y49" i="1"/>
  <c r="Z49" i="1"/>
  <c r="AA49" i="1"/>
  <c r="AB49" i="1"/>
  <c r="AJ49" i="1"/>
  <c r="AK49" i="1"/>
  <c r="AL49" i="1"/>
  <c r="AM49" i="1"/>
  <c r="AN49" i="1"/>
  <c r="AO49" i="1"/>
  <c r="AP49" i="1"/>
  <c r="AQ49" i="1"/>
  <c r="AR49" i="1"/>
  <c r="AS49" i="1"/>
  <c r="AT49" i="1"/>
  <c r="AU49" i="1"/>
  <c r="AV49" i="1"/>
  <c r="AW49" i="1"/>
  <c r="AX49" i="1"/>
  <c r="AY49" i="1"/>
  <c r="AZ49" i="1"/>
  <c r="BA49" i="1"/>
  <c r="BB49" i="1"/>
  <c r="H50" i="1"/>
  <c r="I50" i="1"/>
  <c r="K50" i="1"/>
  <c r="L50" i="1"/>
  <c r="P50" i="1"/>
  <c r="S50" i="1"/>
  <c r="T50" i="1"/>
  <c r="U50" i="1"/>
  <c r="V50" i="1"/>
  <c r="W50" i="1"/>
  <c r="X50" i="1"/>
  <c r="Y50" i="1"/>
  <c r="Z50" i="1"/>
  <c r="AA50" i="1"/>
  <c r="AB50" i="1"/>
  <c r="AJ50" i="1"/>
  <c r="AK50" i="1"/>
  <c r="AL50" i="1"/>
  <c r="AM50" i="1"/>
  <c r="AN50" i="1"/>
  <c r="AO50" i="1"/>
  <c r="AP50" i="1"/>
  <c r="AQ50" i="1"/>
  <c r="AR50" i="1"/>
  <c r="AS50" i="1"/>
  <c r="AT50" i="1"/>
  <c r="AU50" i="1"/>
  <c r="AV50" i="1"/>
  <c r="AW50" i="1"/>
  <c r="AX50" i="1"/>
  <c r="AY50" i="1"/>
  <c r="AZ50" i="1"/>
  <c r="BA50" i="1"/>
  <c r="BB50" i="1"/>
  <c r="H51" i="1"/>
  <c r="I51" i="1"/>
  <c r="K51" i="1"/>
  <c r="L51" i="1"/>
  <c r="P51" i="1"/>
  <c r="S51" i="1"/>
  <c r="T51" i="1"/>
  <c r="U51" i="1"/>
  <c r="V51" i="1"/>
  <c r="W51" i="1"/>
  <c r="X51" i="1"/>
  <c r="Y51" i="1"/>
  <c r="Z51" i="1"/>
  <c r="AA51" i="1"/>
  <c r="AB51" i="1"/>
  <c r="AJ51" i="1"/>
  <c r="AK51" i="1"/>
  <c r="AL51" i="1"/>
  <c r="AM51" i="1"/>
  <c r="AN51" i="1"/>
  <c r="AO51" i="1"/>
  <c r="AP51" i="1"/>
  <c r="AQ51" i="1"/>
  <c r="AR51" i="1"/>
  <c r="AS51" i="1"/>
  <c r="AT51" i="1"/>
  <c r="AU51" i="1"/>
  <c r="AV51" i="1"/>
  <c r="AW51" i="1"/>
  <c r="AX51" i="1"/>
  <c r="AY51" i="1"/>
  <c r="AZ51" i="1"/>
  <c r="BA51" i="1"/>
  <c r="BB51" i="1"/>
  <c r="H52" i="1"/>
  <c r="I52" i="1"/>
  <c r="K52" i="1"/>
  <c r="L52" i="1"/>
  <c r="P52" i="1"/>
  <c r="S52" i="1"/>
  <c r="T52" i="1"/>
  <c r="U52" i="1"/>
  <c r="V52" i="1"/>
  <c r="W52" i="1"/>
  <c r="X52" i="1"/>
  <c r="Y52" i="1"/>
  <c r="Z52" i="1"/>
  <c r="AA52" i="1"/>
  <c r="AB52" i="1"/>
  <c r="AJ52" i="1"/>
  <c r="AK52" i="1"/>
  <c r="AL52" i="1"/>
  <c r="AM52" i="1"/>
  <c r="AN52" i="1"/>
  <c r="AO52" i="1"/>
  <c r="AP52" i="1"/>
  <c r="AQ52" i="1"/>
  <c r="AR52" i="1"/>
  <c r="AS52" i="1"/>
  <c r="AT52" i="1"/>
  <c r="AU52" i="1"/>
  <c r="AV52" i="1"/>
  <c r="AW52" i="1"/>
  <c r="AX52" i="1"/>
  <c r="AY52" i="1"/>
  <c r="AZ52" i="1"/>
  <c r="BA52" i="1"/>
  <c r="BB52" i="1"/>
  <c r="H53" i="1"/>
  <c r="I53" i="1"/>
  <c r="K53" i="1"/>
  <c r="L53" i="1"/>
  <c r="P53" i="1"/>
  <c r="S53" i="1"/>
  <c r="T53" i="1"/>
  <c r="U53" i="1"/>
  <c r="V53" i="1"/>
  <c r="W53" i="1"/>
  <c r="X53" i="1"/>
  <c r="Y53" i="1"/>
  <c r="Z53" i="1"/>
  <c r="AA53" i="1"/>
  <c r="AB53" i="1"/>
  <c r="AJ53" i="1"/>
  <c r="AK53" i="1"/>
  <c r="AL53" i="1"/>
  <c r="AM53" i="1"/>
  <c r="AN53" i="1"/>
  <c r="AO53" i="1"/>
  <c r="AP53" i="1"/>
  <c r="AQ53" i="1"/>
  <c r="AR53" i="1"/>
  <c r="AS53" i="1"/>
  <c r="AT53" i="1"/>
  <c r="AU53" i="1"/>
  <c r="AV53" i="1"/>
  <c r="AW53" i="1"/>
  <c r="AX53" i="1"/>
  <c r="AY53" i="1"/>
  <c r="AZ53" i="1"/>
  <c r="BA53" i="1"/>
  <c r="BB53" i="1"/>
  <c r="H54" i="1"/>
  <c r="I54" i="1"/>
  <c r="K54" i="1"/>
  <c r="L54" i="1"/>
  <c r="P54" i="1"/>
  <c r="S54" i="1"/>
  <c r="T54" i="1"/>
  <c r="U54" i="1"/>
  <c r="V54" i="1"/>
  <c r="W54" i="1"/>
  <c r="X54" i="1"/>
  <c r="Y54" i="1"/>
  <c r="Z54" i="1"/>
  <c r="AA54" i="1"/>
  <c r="AB54" i="1"/>
  <c r="AJ54" i="1"/>
  <c r="AK54" i="1"/>
  <c r="AL54" i="1"/>
  <c r="AM54" i="1"/>
  <c r="AN54" i="1"/>
  <c r="AO54" i="1"/>
  <c r="AP54" i="1"/>
  <c r="AQ54" i="1"/>
  <c r="AR54" i="1"/>
  <c r="AS54" i="1"/>
  <c r="AT54" i="1"/>
  <c r="AU54" i="1"/>
  <c r="AV54" i="1"/>
  <c r="AW54" i="1"/>
  <c r="AX54" i="1"/>
  <c r="AY54" i="1"/>
  <c r="AZ54" i="1"/>
  <c r="BA54" i="1"/>
  <c r="BB54" i="1"/>
  <c r="H55" i="1"/>
  <c r="I55" i="1"/>
  <c r="K55" i="1"/>
  <c r="L55" i="1"/>
  <c r="P55" i="1"/>
  <c r="S55" i="1"/>
  <c r="T55" i="1"/>
  <c r="U55" i="1"/>
  <c r="V55" i="1"/>
  <c r="W55" i="1"/>
  <c r="X55" i="1"/>
  <c r="Y55" i="1"/>
  <c r="Z55" i="1"/>
  <c r="AA55" i="1"/>
  <c r="AB55" i="1"/>
  <c r="AJ55" i="1"/>
  <c r="AK55" i="1"/>
  <c r="AL55" i="1"/>
  <c r="AM55" i="1"/>
  <c r="AN55" i="1"/>
  <c r="AO55" i="1"/>
  <c r="AP55" i="1"/>
  <c r="AQ55" i="1"/>
  <c r="AR55" i="1"/>
  <c r="AS55" i="1"/>
  <c r="AT55" i="1"/>
  <c r="AU55" i="1"/>
  <c r="AV55" i="1"/>
  <c r="AW55" i="1"/>
  <c r="AX55" i="1"/>
  <c r="AY55" i="1"/>
  <c r="AZ55" i="1"/>
  <c r="BA55" i="1"/>
  <c r="BB55" i="1"/>
  <c r="H56" i="1"/>
  <c r="I56" i="1"/>
  <c r="K56" i="1"/>
  <c r="L56" i="1"/>
  <c r="P56" i="1"/>
  <c r="S56" i="1"/>
  <c r="T56" i="1"/>
  <c r="U56" i="1"/>
  <c r="V56" i="1"/>
  <c r="W56" i="1"/>
  <c r="X56" i="1"/>
  <c r="Y56" i="1"/>
  <c r="Z56" i="1"/>
  <c r="AA56" i="1"/>
  <c r="AB56" i="1"/>
  <c r="AJ56" i="1"/>
  <c r="AK56" i="1"/>
  <c r="AL56" i="1"/>
  <c r="AM56" i="1"/>
  <c r="AN56" i="1"/>
  <c r="AO56" i="1"/>
  <c r="AP56" i="1"/>
  <c r="AQ56" i="1"/>
  <c r="AR56" i="1"/>
  <c r="AS56" i="1"/>
  <c r="AT56" i="1"/>
  <c r="AU56" i="1"/>
  <c r="AV56" i="1"/>
  <c r="AW56" i="1"/>
  <c r="AX56" i="1"/>
  <c r="AY56" i="1"/>
  <c r="AZ56" i="1"/>
  <c r="BA56" i="1"/>
  <c r="BB56" i="1"/>
  <c r="H57" i="1"/>
  <c r="I57" i="1"/>
  <c r="K57" i="1"/>
  <c r="L57" i="1"/>
  <c r="P57" i="1"/>
  <c r="S57" i="1"/>
  <c r="T57" i="1"/>
  <c r="U57" i="1"/>
  <c r="V57" i="1"/>
  <c r="W57" i="1"/>
  <c r="X57" i="1"/>
  <c r="Y57" i="1"/>
  <c r="Z57" i="1"/>
  <c r="AA57" i="1"/>
  <c r="AB57" i="1"/>
  <c r="AJ57" i="1"/>
  <c r="AK57" i="1"/>
  <c r="AL57" i="1"/>
  <c r="AM57" i="1"/>
  <c r="AN57" i="1"/>
  <c r="AO57" i="1"/>
  <c r="AP57" i="1"/>
  <c r="AQ57" i="1"/>
  <c r="AR57" i="1"/>
  <c r="AS57" i="1"/>
  <c r="AT57" i="1"/>
  <c r="AU57" i="1"/>
  <c r="AV57" i="1"/>
  <c r="AW57" i="1"/>
  <c r="AX57" i="1"/>
  <c r="AY57" i="1"/>
  <c r="AZ57" i="1"/>
  <c r="BA57" i="1"/>
  <c r="BB57" i="1"/>
  <c r="H58" i="1"/>
  <c r="I58" i="1"/>
  <c r="K58" i="1"/>
  <c r="L58" i="1"/>
  <c r="P58" i="1"/>
  <c r="S58" i="1"/>
  <c r="T58" i="1"/>
  <c r="U58" i="1"/>
  <c r="V58" i="1"/>
  <c r="W58" i="1"/>
  <c r="X58" i="1"/>
  <c r="Y58" i="1"/>
  <c r="Z58" i="1"/>
  <c r="AA58" i="1"/>
  <c r="AB58" i="1"/>
  <c r="AJ58" i="1"/>
  <c r="AK58" i="1"/>
  <c r="AL58" i="1"/>
  <c r="AM58" i="1"/>
  <c r="AN58" i="1"/>
  <c r="AO58" i="1"/>
  <c r="AP58" i="1"/>
  <c r="AQ58" i="1"/>
  <c r="AR58" i="1"/>
  <c r="AS58" i="1"/>
  <c r="AT58" i="1"/>
  <c r="AU58" i="1"/>
  <c r="AV58" i="1"/>
  <c r="AW58" i="1"/>
  <c r="AX58" i="1"/>
  <c r="AY58" i="1"/>
  <c r="AZ58" i="1"/>
  <c r="BA58" i="1"/>
  <c r="BB58" i="1"/>
  <c r="H59" i="1"/>
  <c r="I59" i="1"/>
  <c r="K59" i="1"/>
  <c r="L59" i="1"/>
  <c r="P59" i="1"/>
  <c r="S59" i="1"/>
  <c r="T59" i="1"/>
  <c r="U59" i="1"/>
  <c r="V59" i="1"/>
  <c r="W59" i="1"/>
  <c r="X59" i="1"/>
  <c r="Y59" i="1"/>
  <c r="Z59" i="1"/>
  <c r="AA59" i="1"/>
  <c r="AB59" i="1"/>
  <c r="AJ59" i="1"/>
  <c r="AK59" i="1"/>
  <c r="AL59" i="1"/>
  <c r="AM59" i="1"/>
  <c r="AN59" i="1"/>
  <c r="AO59" i="1"/>
  <c r="AP59" i="1"/>
  <c r="AQ59" i="1"/>
  <c r="AR59" i="1"/>
  <c r="AS59" i="1"/>
  <c r="AT59" i="1"/>
  <c r="AU59" i="1"/>
  <c r="AV59" i="1"/>
  <c r="AW59" i="1"/>
  <c r="AX59" i="1"/>
  <c r="AY59" i="1"/>
  <c r="AZ59" i="1"/>
  <c r="BA59" i="1"/>
  <c r="BB59" i="1"/>
  <c r="H60" i="1"/>
  <c r="I60" i="1"/>
  <c r="K60" i="1"/>
  <c r="L60" i="1"/>
  <c r="P60" i="1"/>
  <c r="S60" i="1"/>
  <c r="T60" i="1"/>
  <c r="U60" i="1"/>
  <c r="V60" i="1"/>
  <c r="W60" i="1"/>
  <c r="X60" i="1"/>
  <c r="Y60" i="1"/>
  <c r="Z60" i="1"/>
  <c r="AA60" i="1"/>
  <c r="AB60" i="1"/>
  <c r="AJ60" i="1"/>
  <c r="AK60" i="1"/>
  <c r="AL60" i="1"/>
  <c r="AM60" i="1"/>
  <c r="AN60" i="1"/>
  <c r="AO60" i="1"/>
  <c r="AP60" i="1"/>
  <c r="AQ60" i="1"/>
  <c r="AR60" i="1"/>
  <c r="AS60" i="1"/>
  <c r="AT60" i="1"/>
  <c r="AU60" i="1"/>
  <c r="AV60" i="1"/>
  <c r="AW60" i="1"/>
  <c r="AX60" i="1"/>
  <c r="AY60" i="1"/>
  <c r="AZ60" i="1"/>
  <c r="BA60" i="1"/>
  <c r="BB60" i="1"/>
  <c r="H61" i="1"/>
  <c r="I61" i="1"/>
  <c r="K61" i="1"/>
  <c r="L61" i="1"/>
  <c r="P61" i="1"/>
  <c r="S61" i="1"/>
  <c r="T61" i="1"/>
  <c r="U61" i="1"/>
  <c r="V61" i="1"/>
  <c r="W61" i="1"/>
  <c r="X61" i="1"/>
  <c r="Y61" i="1"/>
  <c r="Z61" i="1"/>
  <c r="AA61" i="1"/>
  <c r="AB61" i="1"/>
  <c r="AJ61" i="1"/>
  <c r="AK61" i="1"/>
  <c r="AL61" i="1"/>
  <c r="AM61" i="1"/>
  <c r="AN61" i="1"/>
  <c r="AO61" i="1"/>
  <c r="AP61" i="1"/>
  <c r="AQ61" i="1"/>
  <c r="AR61" i="1"/>
  <c r="AS61" i="1"/>
  <c r="AT61" i="1"/>
  <c r="AU61" i="1"/>
  <c r="AV61" i="1"/>
  <c r="AW61" i="1"/>
  <c r="AX61" i="1"/>
  <c r="AY61" i="1"/>
  <c r="AZ61" i="1"/>
  <c r="BA61" i="1"/>
  <c r="BB61" i="1"/>
  <c r="H62" i="1"/>
  <c r="I62" i="1"/>
  <c r="K62" i="1"/>
  <c r="L62" i="1"/>
  <c r="P62" i="1"/>
  <c r="S62" i="1"/>
  <c r="T62" i="1"/>
  <c r="U62" i="1"/>
  <c r="V62" i="1"/>
  <c r="W62" i="1"/>
  <c r="X62" i="1"/>
  <c r="Y62" i="1"/>
  <c r="Z62" i="1"/>
  <c r="AA62" i="1"/>
  <c r="AB62" i="1"/>
  <c r="AJ62" i="1"/>
  <c r="AK62" i="1"/>
  <c r="AL62" i="1"/>
  <c r="AM62" i="1"/>
  <c r="AN62" i="1"/>
  <c r="AO62" i="1"/>
  <c r="AP62" i="1"/>
  <c r="AQ62" i="1"/>
  <c r="AR62" i="1"/>
  <c r="AS62" i="1"/>
  <c r="AT62" i="1"/>
  <c r="AU62" i="1"/>
  <c r="AV62" i="1"/>
  <c r="AW62" i="1"/>
  <c r="AX62" i="1"/>
  <c r="AY62" i="1"/>
  <c r="AZ62" i="1"/>
  <c r="BA62" i="1"/>
  <c r="BB62" i="1"/>
  <c r="H63" i="1"/>
  <c r="I63" i="1"/>
  <c r="K63" i="1"/>
  <c r="L63" i="1"/>
  <c r="P63" i="1"/>
  <c r="S63" i="1"/>
  <c r="T63" i="1"/>
  <c r="U63" i="1"/>
  <c r="V63" i="1"/>
  <c r="W63" i="1"/>
  <c r="X63" i="1"/>
  <c r="Y63" i="1"/>
  <c r="Z63" i="1"/>
  <c r="AA63" i="1"/>
  <c r="AB63" i="1"/>
  <c r="AJ63" i="1"/>
  <c r="AK63" i="1"/>
  <c r="AL63" i="1"/>
  <c r="AM63" i="1"/>
  <c r="AN63" i="1"/>
  <c r="AO63" i="1"/>
  <c r="AP63" i="1"/>
  <c r="AQ63" i="1"/>
  <c r="AR63" i="1"/>
  <c r="AS63" i="1"/>
  <c r="AT63" i="1"/>
  <c r="AU63" i="1"/>
  <c r="AV63" i="1"/>
  <c r="AW63" i="1"/>
  <c r="AX63" i="1"/>
  <c r="AY63" i="1"/>
  <c r="AZ63" i="1"/>
  <c r="BA63" i="1"/>
  <c r="BB63" i="1"/>
  <c r="H64" i="1"/>
  <c r="I64" i="1"/>
  <c r="K64" i="1"/>
  <c r="L64" i="1"/>
  <c r="P64" i="1"/>
  <c r="S64" i="1"/>
  <c r="T64" i="1"/>
  <c r="U64" i="1"/>
  <c r="V64" i="1"/>
  <c r="W64" i="1"/>
  <c r="X64" i="1"/>
  <c r="Y64" i="1"/>
  <c r="Z64" i="1"/>
  <c r="AA64" i="1"/>
  <c r="AB64" i="1"/>
  <c r="AJ64" i="1"/>
  <c r="AK64" i="1"/>
  <c r="AL64" i="1"/>
  <c r="AM64" i="1"/>
  <c r="AN64" i="1"/>
  <c r="AO64" i="1"/>
  <c r="AP64" i="1"/>
  <c r="AQ64" i="1"/>
  <c r="AR64" i="1"/>
  <c r="AS64" i="1"/>
  <c r="AT64" i="1"/>
  <c r="AU64" i="1"/>
  <c r="AV64" i="1"/>
  <c r="AW64" i="1"/>
  <c r="AX64" i="1"/>
  <c r="AY64" i="1"/>
  <c r="AZ64" i="1"/>
  <c r="BA64" i="1"/>
  <c r="BB64" i="1"/>
  <c r="H65" i="1"/>
  <c r="I65" i="1"/>
  <c r="K65" i="1"/>
  <c r="L65" i="1"/>
  <c r="P65" i="1"/>
  <c r="S65" i="1"/>
  <c r="T65" i="1"/>
  <c r="U65" i="1"/>
  <c r="V65" i="1"/>
  <c r="W65" i="1"/>
  <c r="X65" i="1"/>
  <c r="Y65" i="1"/>
  <c r="Z65" i="1"/>
  <c r="AA65" i="1"/>
  <c r="AB65" i="1"/>
  <c r="AJ65" i="1"/>
  <c r="AK65" i="1"/>
  <c r="AL65" i="1"/>
  <c r="AM65" i="1"/>
  <c r="AN65" i="1"/>
  <c r="AO65" i="1"/>
  <c r="AP65" i="1"/>
  <c r="AQ65" i="1"/>
  <c r="AR65" i="1"/>
  <c r="AS65" i="1"/>
  <c r="AT65" i="1"/>
  <c r="AU65" i="1"/>
  <c r="AV65" i="1"/>
  <c r="AW65" i="1"/>
  <c r="AX65" i="1"/>
  <c r="AY65" i="1"/>
  <c r="AZ65" i="1"/>
  <c r="BA65" i="1"/>
  <c r="BB65" i="1"/>
  <c r="H66" i="1"/>
  <c r="I66" i="1"/>
  <c r="K66" i="1"/>
  <c r="L66" i="1"/>
  <c r="P66" i="1"/>
  <c r="S66" i="1"/>
  <c r="T66" i="1"/>
  <c r="U66" i="1"/>
  <c r="V66" i="1"/>
  <c r="W66" i="1"/>
  <c r="X66" i="1"/>
  <c r="Y66" i="1"/>
  <c r="Z66" i="1"/>
  <c r="AA66" i="1"/>
  <c r="AB66" i="1"/>
  <c r="AJ66" i="1"/>
  <c r="AK66" i="1"/>
  <c r="AL66" i="1"/>
  <c r="AM66" i="1"/>
  <c r="AN66" i="1"/>
  <c r="AO66" i="1"/>
  <c r="AP66" i="1"/>
  <c r="AQ66" i="1"/>
  <c r="AR66" i="1"/>
  <c r="AS66" i="1"/>
  <c r="AT66" i="1"/>
  <c r="AU66" i="1"/>
  <c r="AV66" i="1"/>
  <c r="AW66" i="1"/>
  <c r="AX66" i="1"/>
  <c r="AY66" i="1"/>
  <c r="AZ66" i="1"/>
  <c r="BA66" i="1"/>
  <c r="BB66" i="1"/>
  <c r="H67" i="1"/>
  <c r="I67" i="1"/>
  <c r="K67" i="1"/>
  <c r="L67" i="1"/>
  <c r="P67" i="1"/>
  <c r="S67" i="1"/>
  <c r="T67" i="1"/>
  <c r="U67" i="1"/>
  <c r="V67" i="1"/>
  <c r="W67" i="1"/>
  <c r="X67" i="1"/>
  <c r="Y67" i="1"/>
  <c r="Z67" i="1"/>
  <c r="AA67" i="1"/>
  <c r="AB67" i="1"/>
  <c r="AJ67" i="1"/>
  <c r="AK67" i="1"/>
  <c r="AL67" i="1"/>
  <c r="AM67" i="1"/>
  <c r="AN67" i="1"/>
  <c r="AO67" i="1"/>
  <c r="AP67" i="1"/>
  <c r="AQ67" i="1"/>
  <c r="AR67" i="1"/>
  <c r="AS67" i="1"/>
  <c r="AT67" i="1"/>
  <c r="AU67" i="1"/>
  <c r="AV67" i="1"/>
  <c r="AW67" i="1"/>
  <c r="AX67" i="1"/>
  <c r="AY67" i="1"/>
  <c r="AZ67" i="1"/>
  <c r="BA67" i="1"/>
  <c r="BB67" i="1"/>
  <c r="H68" i="1"/>
  <c r="I68" i="1"/>
  <c r="K68" i="1"/>
  <c r="L68" i="1"/>
  <c r="P68" i="1"/>
  <c r="S68" i="1"/>
  <c r="T68" i="1"/>
  <c r="U68" i="1"/>
  <c r="V68" i="1"/>
  <c r="W68" i="1"/>
  <c r="X68" i="1"/>
  <c r="Y68" i="1"/>
  <c r="Z68" i="1"/>
  <c r="AA68" i="1"/>
  <c r="AB68" i="1"/>
  <c r="AJ68" i="1"/>
  <c r="AK68" i="1"/>
  <c r="AL68" i="1"/>
  <c r="AM68" i="1"/>
  <c r="AN68" i="1"/>
  <c r="AO68" i="1"/>
  <c r="AP68" i="1"/>
  <c r="AQ68" i="1"/>
  <c r="AR68" i="1"/>
  <c r="AS68" i="1"/>
  <c r="AT68" i="1"/>
  <c r="AU68" i="1"/>
  <c r="AV68" i="1"/>
  <c r="AW68" i="1"/>
  <c r="AX68" i="1"/>
  <c r="AY68" i="1"/>
  <c r="AZ68" i="1"/>
  <c r="BA68" i="1"/>
  <c r="BB68" i="1"/>
  <c r="H69" i="1"/>
  <c r="I69" i="1"/>
  <c r="K69" i="1"/>
  <c r="L69" i="1"/>
  <c r="P69" i="1"/>
  <c r="S69" i="1"/>
  <c r="T69" i="1"/>
  <c r="U69" i="1"/>
  <c r="V69" i="1"/>
  <c r="W69" i="1"/>
  <c r="X69" i="1"/>
  <c r="Y69" i="1"/>
  <c r="Z69" i="1"/>
  <c r="AA69" i="1"/>
  <c r="AB69" i="1"/>
  <c r="AJ69" i="1"/>
  <c r="AK69" i="1"/>
  <c r="AL69" i="1"/>
  <c r="AM69" i="1"/>
  <c r="AN69" i="1"/>
  <c r="AO69" i="1"/>
  <c r="AP69" i="1"/>
  <c r="AQ69" i="1"/>
  <c r="AR69" i="1"/>
  <c r="AS69" i="1"/>
  <c r="AT69" i="1"/>
  <c r="AU69" i="1"/>
  <c r="AV69" i="1"/>
  <c r="AW69" i="1"/>
  <c r="AX69" i="1"/>
  <c r="AY69" i="1"/>
  <c r="AZ69" i="1"/>
  <c r="BA69" i="1"/>
  <c r="BB69" i="1"/>
  <c r="H70" i="1"/>
  <c r="I70" i="1"/>
  <c r="K70" i="1"/>
  <c r="L70" i="1"/>
  <c r="P70" i="1"/>
  <c r="S70" i="1"/>
  <c r="T70" i="1"/>
  <c r="U70" i="1"/>
  <c r="V70" i="1"/>
  <c r="W70" i="1"/>
  <c r="X70" i="1"/>
  <c r="Y70" i="1"/>
  <c r="Z70" i="1"/>
  <c r="AA70" i="1"/>
  <c r="AB70" i="1"/>
  <c r="AJ70" i="1"/>
  <c r="AK70" i="1"/>
  <c r="AL70" i="1"/>
  <c r="AM70" i="1"/>
  <c r="AN70" i="1"/>
  <c r="AO70" i="1"/>
  <c r="AP70" i="1"/>
  <c r="AQ70" i="1"/>
  <c r="AR70" i="1"/>
  <c r="AS70" i="1"/>
  <c r="AT70" i="1"/>
  <c r="AU70" i="1"/>
  <c r="AV70" i="1"/>
  <c r="AW70" i="1"/>
  <c r="AX70" i="1"/>
  <c r="AY70" i="1"/>
  <c r="AZ70" i="1"/>
  <c r="BA70" i="1"/>
  <c r="BB70" i="1"/>
  <c r="H71" i="1"/>
  <c r="I71" i="1"/>
  <c r="K71" i="1"/>
  <c r="L71" i="1"/>
  <c r="P71" i="1"/>
  <c r="S71" i="1"/>
  <c r="T71" i="1"/>
  <c r="U71" i="1"/>
  <c r="V71" i="1"/>
  <c r="W71" i="1"/>
  <c r="X71" i="1"/>
  <c r="Y71" i="1"/>
  <c r="Z71" i="1"/>
  <c r="AA71" i="1"/>
  <c r="AB71" i="1"/>
  <c r="AJ71" i="1"/>
  <c r="AK71" i="1"/>
  <c r="AL71" i="1"/>
  <c r="AM71" i="1"/>
  <c r="AN71" i="1"/>
  <c r="AO71" i="1"/>
  <c r="AP71" i="1"/>
  <c r="AQ71" i="1"/>
  <c r="AR71" i="1"/>
  <c r="AS71" i="1"/>
  <c r="AT71" i="1"/>
  <c r="AU71" i="1"/>
  <c r="AV71" i="1"/>
  <c r="AW71" i="1"/>
  <c r="AX71" i="1"/>
  <c r="AY71" i="1"/>
  <c r="AZ71" i="1"/>
  <c r="BA71" i="1"/>
  <c r="BB71" i="1"/>
  <c r="H72" i="1"/>
  <c r="I72" i="1"/>
  <c r="K72" i="1"/>
  <c r="L72" i="1"/>
  <c r="P72" i="1"/>
  <c r="S72" i="1"/>
  <c r="T72" i="1"/>
  <c r="U72" i="1"/>
  <c r="V72" i="1"/>
  <c r="W72" i="1"/>
  <c r="X72" i="1"/>
  <c r="Y72" i="1"/>
  <c r="Z72" i="1"/>
  <c r="AA72" i="1"/>
  <c r="AB72" i="1"/>
  <c r="AJ72" i="1"/>
  <c r="AK72" i="1"/>
  <c r="AL72" i="1"/>
  <c r="AM72" i="1"/>
  <c r="AN72" i="1"/>
  <c r="AO72" i="1"/>
  <c r="AP72" i="1"/>
  <c r="AQ72" i="1"/>
  <c r="AR72" i="1"/>
  <c r="AS72" i="1"/>
  <c r="AT72" i="1"/>
  <c r="AU72" i="1"/>
  <c r="AV72" i="1"/>
  <c r="AW72" i="1"/>
  <c r="AX72" i="1"/>
  <c r="AY72" i="1"/>
  <c r="AZ72" i="1"/>
  <c r="BA72" i="1"/>
  <c r="BB72" i="1"/>
  <c r="H73" i="1"/>
  <c r="I73" i="1"/>
  <c r="K73" i="1"/>
  <c r="L73" i="1"/>
  <c r="P73" i="1"/>
  <c r="S73" i="1"/>
  <c r="T73" i="1"/>
  <c r="U73" i="1"/>
  <c r="V73" i="1"/>
  <c r="W73" i="1"/>
  <c r="X73" i="1"/>
  <c r="Y73" i="1"/>
  <c r="Z73" i="1"/>
  <c r="AA73" i="1"/>
  <c r="AB73" i="1"/>
  <c r="AJ73" i="1"/>
  <c r="AK73" i="1"/>
  <c r="AL73" i="1"/>
  <c r="AM73" i="1"/>
  <c r="AN73" i="1"/>
  <c r="AO73" i="1"/>
  <c r="AP73" i="1"/>
  <c r="AQ73" i="1"/>
  <c r="AR73" i="1"/>
  <c r="AS73" i="1"/>
  <c r="AT73" i="1"/>
  <c r="AU73" i="1"/>
  <c r="AV73" i="1"/>
  <c r="AW73" i="1"/>
  <c r="AX73" i="1"/>
  <c r="AY73" i="1"/>
  <c r="AZ73" i="1"/>
  <c r="BA73" i="1"/>
  <c r="BB73" i="1"/>
  <c r="H74" i="1"/>
  <c r="I74" i="1"/>
  <c r="K74" i="1"/>
  <c r="L74" i="1"/>
  <c r="P74" i="1"/>
  <c r="S74" i="1"/>
  <c r="T74" i="1"/>
  <c r="U74" i="1"/>
  <c r="V74" i="1"/>
  <c r="W74" i="1"/>
  <c r="X74" i="1"/>
  <c r="Y74" i="1"/>
  <c r="Z74" i="1"/>
  <c r="AA74" i="1"/>
  <c r="AB74" i="1"/>
  <c r="AJ74" i="1"/>
  <c r="AK74" i="1"/>
  <c r="AL74" i="1"/>
  <c r="AM74" i="1"/>
  <c r="AN74" i="1"/>
  <c r="AO74" i="1"/>
  <c r="AP74" i="1"/>
  <c r="AQ74" i="1"/>
  <c r="AR74" i="1"/>
  <c r="AS74" i="1"/>
  <c r="AT74" i="1"/>
  <c r="AU74" i="1"/>
  <c r="AV74" i="1"/>
  <c r="AW74" i="1"/>
  <c r="AX74" i="1"/>
  <c r="AY74" i="1"/>
  <c r="AZ74" i="1"/>
  <c r="BA74" i="1"/>
  <c r="BB74" i="1"/>
  <c r="H75" i="1"/>
  <c r="I75" i="1"/>
  <c r="K75" i="1"/>
  <c r="L75" i="1"/>
  <c r="P75" i="1"/>
  <c r="S75" i="1"/>
  <c r="T75" i="1"/>
  <c r="U75" i="1"/>
  <c r="V75" i="1"/>
  <c r="W75" i="1"/>
  <c r="X75" i="1"/>
  <c r="Y75" i="1"/>
  <c r="Z75" i="1"/>
  <c r="AA75" i="1"/>
  <c r="AB75" i="1"/>
  <c r="AJ75" i="1"/>
  <c r="AK75" i="1"/>
  <c r="AL75" i="1"/>
  <c r="AM75" i="1"/>
  <c r="AN75" i="1"/>
  <c r="AO75" i="1"/>
  <c r="AP75" i="1"/>
  <c r="AQ75" i="1"/>
  <c r="AR75" i="1"/>
  <c r="AS75" i="1"/>
  <c r="AT75" i="1"/>
  <c r="AU75" i="1"/>
  <c r="AV75" i="1"/>
  <c r="AW75" i="1"/>
  <c r="AX75" i="1"/>
  <c r="AY75" i="1"/>
  <c r="AZ75" i="1"/>
  <c r="BA75" i="1"/>
  <c r="BB75" i="1"/>
  <c r="H76" i="1"/>
  <c r="I76" i="1"/>
  <c r="K76" i="1"/>
  <c r="L76" i="1"/>
  <c r="P76" i="1"/>
  <c r="S76" i="1"/>
  <c r="T76" i="1"/>
  <c r="U76" i="1"/>
  <c r="V76" i="1"/>
  <c r="W76" i="1"/>
  <c r="X76" i="1"/>
  <c r="Y76" i="1"/>
  <c r="Z76" i="1"/>
  <c r="AA76" i="1"/>
  <c r="AB76" i="1"/>
  <c r="AJ76" i="1"/>
  <c r="AK76" i="1"/>
  <c r="AL76" i="1"/>
  <c r="AM76" i="1"/>
  <c r="AN76" i="1"/>
  <c r="AO76" i="1"/>
  <c r="AP76" i="1"/>
  <c r="AQ76" i="1"/>
  <c r="AR76" i="1"/>
  <c r="AS76" i="1"/>
  <c r="AT76" i="1"/>
  <c r="AU76" i="1"/>
  <c r="AV76" i="1"/>
  <c r="AW76" i="1"/>
  <c r="AX76" i="1"/>
  <c r="AY76" i="1"/>
  <c r="AZ76" i="1"/>
  <c r="BA76" i="1"/>
  <c r="BB76" i="1"/>
  <c r="H77" i="1"/>
  <c r="I77" i="1"/>
  <c r="K77" i="1"/>
  <c r="L77" i="1"/>
  <c r="P77" i="1"/>
  <c r="S77" i="1"/>
  <c r="T77" i="1"/>
  <c r="U77" i="1"/>
  <c r="V77" i="1"/>
  <c r="W77" i="1"/>
  <c r="X77" i="1"/>
  <c r="Y77" i="1"/>
  <c r="Z77" i="1"/>
  <c r="AA77" i="1"/>
  <c r="AB77" i="1"/>
  <c r="AJ77" i="1"/>
  <c r="AK77" i="1"/>
  <c r="AL77" i="1"/>
  <c r="AM77" i="1"/>
  <c r="AN77" i="1"/>
  <c r="AO77" i="1"/>
  <c r="AP77" i="1"/>
  <c r="AQ77" i="1"/>
  <c r="AR77" i="1"/>
  <c r="AS77" i="1"/>
  <c r="AT77" i="1"/>
  <c r="AU77" i="1"/>
  <c r="AV77" i="1"/>
  <c r="AW77" i="1"/>
  <c r="AX77" i="1"/>
  <c r="AY77" i="1"/>
  <c r="AZ77" i="1"/>
  <c r="BA77" i="1"/>
  <c r="BB77" i="1"/>
  <c r="H78" i="1"/>
  <c r="I78" i="1"/>
  <c r="K78" i="1"/>
  <c r="L78" i="1"/>
  <c r="P78" i="1"/>
  <c r="S78" i="1"/>
  <c r="T78" i="1"/>
  <c r="U78" i="1"/>
  <c r="V78" i="1"/>
  <c r="W78" i="1"/>
  <c r="X78" i="1"/>
  <c r="Y78" i="1"/>
  <c r="Z78" i="1"/>
  <c r="AA78" i="1"/>
  <c r="AB78" i="1"/>
  <c r="AJ78" i="1"/>
  <c r="AK78" i="1"/>
  <c r="AL78" i="1"/>
  <c r="AM78" i="1"/>
  <c r="AN78" i="1"/>
  <c r="AO78" i="1"/>
  <c r="AP78" i="1"/>
  <c r="AQ78" i="1"/>
  <c r="AR78" i="1"/>
  <c r="AS78" i="1"/>
  <c r="AT78" i="1"/>
  <c r="AU78" i="1"/>
  <c r="AV78" i="1"/>
  <c r="AW78" i="1"/>
  <c r="AX78" i="1"/>
  <c r="AY78" i="1"/>
  <c r="AZ78" i="1"/>
  <c r="BA78" i="1"/>
  <c r="BB78" i="1"/>
  <c r="H79" i="1"/>
  <c r="I79" i="1"/>
  <c r="K79" i="1"/>
  <c r="L79" i="1"/>
  <c r="P79" i="1"/>
  <c r="S79" i="1"/>
  <c r="T79" i="1"/>
  <c r="U79" i="1"/>
  <c r="V79" i="1"/>
  <c r="W79" i="1"/>
  <c r="X79" i="1"/>
  <c r="Y79" i="1"/>
  <c r="Z79" i="1"/>
  <c r="AA79" i="1"/>
  <c r="AB79" i="1"/>
  <c r="AJ79" i="1"/>
  <c r="AK79" i="1"/>
  <c r="AL79" i="1"/>
  <c r="AM79" i="1"/>
  <c r="AN79" i="1"/>
  <c r="AO79" i="1"/>
  <c r="AP79" i="1"/>
  <c r="AQ79" i="1"/>
  <c r="AR79" i="1"/>
  <c r="AS79" i="1"/>
  <c r="AT79" i="1"/>
  <c r="AU79" i="1"/>
  <c r="AV79" i="1"/>
  <c r="AW79" i="1"/>
  <c r="AX79" i="1"/>
  <c r="AY79" i="1"/>
  <c r="AZ79" i="1"/>
  <c r="BA79" i="1"/>
  <c r="BB79" i="1"/>
  <c r="H80" i="1"/>
  <c r="I80" i="1"/>
  <c r="K80" i="1"/>
  <c r="L80" i="1"/>
  <c r="P80" i="1"/>
  <c r="S80" i="1"/>
  <c r="T80" i="1"/>
  <c r="U80" i="1"/>
  <c r="V80" i="1"/>
  <c r="W80" i="1"/>
  <c r="X80" i="1"/>
  <c r="Y80" i="1"/>
  <c r="Z80" i="1"/>
  <c r="AA80" i="1"/>
  <c r="AB80" i="1"/>
  <c r="AJ80" i="1"/>
  <c r="AK80" i="1"/>
  <c r="AL80" i="1"/>
  <c r="AM80" i="1"/>
  <c r="AN80" i="1"/>
  <c r="AO80" i="1"/>
  <c r="AP80" i="1"/>
  <c r="AQ80" i="1"/>
  <c r="AR80" i="1"/>
  <c r="AS80" i="1"/>
  <c r="AT80" i="1"/>
  <c r="AU80" i="1"/>
  <c r="AV80" i="1"/>
  <c r="AW80" i="1"/>
  <c r="AX80" i="1"/>
  <c r="AY80" i="1"/>
  <c r="AZ80" i="1"/>
  <c r="BA80" i="1"/>
  <c r="BB80" i="1"/>
  <c r="H81" i="1"/>
  <c r="I81" i="1"/>
  <c r="K81" i="1"/>
  <c r="L81" i="1"/>
  <c r="P81" i="1"/>
  <c r="S81" i="1"/>
  <c r="T81" i="1"/>
  <c r="U81" i="1"/>
  <c r="V81" i="1"/>
  <c r="W81" i="1"/>
  <c r="X81" i="1"/>
  <c r="Y81" i="1"/>
  <c r="Z81" i="1"/>
  <c r="AA81" i="1"/>
  <c r="AB81" i="1"/>
  <c r="AJ81" i="1"/>
  <c r="AK81" i="1"/>
  <c r="AL81" i="1"/>
  <c r="AM81" i="1"/>
  <c r="AN81" i="1"/>
  <c r="AO81" i="1"/>
  <c r="AP81" i="1"/>
  <c r="AQ81" i="1"/>
  <c r="AR81" i="1"/>
  <c r="AS81" i="1"/>
  <c r="AT81" i="1"/>
  <c r="AU81" i="1"/>
  <c r="AV81" i="1"/>
  <c r="AW81" i="1"/>
  <c r="AX81" i="1"/>
  <c r="AY81" i="1"/>
  <c r="AZ81" i="1"/>
  <c r="BA81" i="1"/>
  <c r="BB81" i="1"/>
  <c r="H82" i="1"/>
  <c r="I82" i="1"/>
  <c r="K82" i="1"/>
  <c r="L82" i="1"/>
  <c r="P82" i="1"/>
  <c r="S82" i="1"/>
  <c r="T82" i="1"/>
  <c r="U82" i="1"/>
  <c r="V82" i="1"/>
  <c r="W82" i="1"/>
  <c r="X82" i="1"/>
  <c r="Y82" i="1"/>
  <c r="Z82" i="1"/>
  <c r="AA82" i="1"/>
  <c r="AB82" i="1"/>
  <c r="AJ82" i="1"/>
  <c r="AK82" i="1"/>
  <c r="AL82" i="1"/>
  <c r="AM82" i="1"/>
  <c r="AN82" i="1"/>
  <c r="AO82" i="1"/>
  <c r="AP82" i="1"/>
  <c r="AQ82" i="1"/>
  <c r="AR82" i="1"/>
  <c r="AS82" i="1"/>
  <c r="AT82" i="1"/>
  <c r="AU82" i="1"/>
  <c r="AV82" i="1"/>
  <c r="AW82" i="1"/>
  <c r="AX82" i="1"/>
  <c r="AY82" i="1"/>
  <c r="AZ82" i="1"/>
  <c r="BA82" i="1"/>
  <c r="BB82" i="1"/>
  <c r="H83" i="1"/>
  <c r="I83" i="1"/>
  <c r="K83" i="1"/>
  <c r="L83" i="1"/>
  <c r="P83" i="1"/>
  <c r="S83" i="1"/>
  <c r="T83" i="1"/>
  <c r="U83" i="1"/>
  <c r="V83" i="1"/>
  <c r="W83" i="1"/>
  <c r="X83" i="1"/>
  <c r="Y83" i="1"/>
  <c r="Z83" i="1"/>
  <c r="AA83" i="1"/>
  <c r="AB83" i="1"/>
  <c r="AJ83" i="1"/>
  <c r="AK83" i="1"/>
  <c r="AL83" i="1"/>
  <c r="AM83" i="1"/>
  <c r="AN83" i="1"/>
  <c r="AO83" i="1"/>
  <c r="AP83" i="1"/>
  <c r="AQ83" i="1"/>
  <c r="AR83" i="1"/>
  <c r="AS83" i="1"/>
  <c r="AT83" i="1"/>
  <c r="AU83" i="1"/>
  <c r="AV83" i="1"/>
  <c r="AW83" i="1"/>
  <c r="AX83" i="1"/>
  <c r="AY83" i="1"/>
  <c r="AZ83" i="1"/>
  <c r="BA83" i="1"/>
  <c r="BB83" i="1"/>
  <c r="H84" i="1"/>
  <c r="I84" i="1"/>
  <c r="K84" i="1"/>
  <c r="L84" i="1"/>
  <c r="P84" i="1"/>
  <c r="S84" i="1"/>
  <c r="T84" i="1"/>
  <c r="U84" i="1"/>
  <c r="V84" i="1"/>
  <c r="W84" i="1"/>
  <c r="X84" i="1"/>
  <c r="Y84" i="1"/>
  <c r="Z84" i="1"/>
  <c r="AA84" i="1"/>
  <c r="AB84" i="1"/>
  <c r="AJ84" i="1"/>
  <c r="AK84" i="1"/>
  <c r="AL84" i="1"/>
  <c r="AM84" i="1"/>
  <c r="AN84" i="1"/>
  <c r="AO84" i="1"/>
  <c r="AP84" i="1"/>
  <c r="AQ84" i="1"/>
  <c r="AR84" i="1"/>
  <c r="AS84" i="1"/>
  <c r="AT84" i="1"/>
  <c r="AU84" i="1"/>
  <c r="AV84" i="1"/>
  <c r="AW84" i="1"/>
  <c r="AX84" i="1"/>
  <c r="AY84" i="1"/>
  <c r="AZ84" i="1"/>
  <c r="BA84" i="1"/>
  <c r="BB84" i="1"/>
  <c r="H85" i="1"/>
  <c r="I85" i="1"/>
  <c r="K85" i="1"/>
  <c r="L85" i="1"/>
  <c r="P85" i="1"/>
  <c r="S85" i="1"/>
  <c r="T85" i="1"/>
  <c r="U85" i="1"/>
  <c r="V85" i="1"/>
  <c r="W85" i="1"/>
  <c r="X85" i="1"/>
  <c r="Y85" i="1"/>
  <c r="Z85" i="1"/>
  <c r="AA85" i="1"/>
  <c r="AB85" i="1"/>
  <c r="AJ85" i="1"/>
  <c r="AK85" i="1"/>
  <c r="AL85" i="1"/>
  <c r="AM85" i="1"/>
  <c r="AN85" i="1"/>
  <c r="AO85" i="1"/>
  <c r="AP85" i="1"/>
  <c r="AQ85" i="1"/>
  <c r="AR85" i="1"/>
  <c r="AS85" i="1"/>
  <c r="AT85" i="1"/>
  <c r="AU85" i="1"/>
  <c r="AV85" i="1"/>
  <c r="AW85" i="1"/>
  <c r="AX85" i="1"/>
  <c r="AY85" i="1"/>
  <c r="AZ85" i="1"/>
  <c r="BA85" i="1"/>
  <c r="BB85" i="1"/>
  <c r="H86" i="1"/>
  <c r="I86" i="1"/>
  <c r="K86" i="1"/>
  <c r="L86" i="1"/>
  <c r="P86" i="1"/>
  <c r="S86" i="1"/>
  <c r="T86" i="1"/>
  <c r="U86" i="1"/>
  <c r="V86" i="1"/>
  <c r="W86" i="1"/>
  <c r="X86" i="1"/>
  <c r="Y86" i="1"/>
  <c r="Z86" i="1"/>
  <c r="AA86" i="1"/>
  <c r="AB86" i="1"/>
  <c r="AJ86" i="1"/>
  <c r="AK86" i="1"/>
  <c r="AL86" i="1"/>
  <c r="AM86" i="1"/>
  <c r="AN86" i="1"/>
  <c r="AO86" i="1"/>
  <c r="AP86" i="1"/>
  <c r="AQ86" i="1"/>
  <c r="AR86" i="1"/>
  <c r="AS86" i="1"/>
  <c r="AT86" i="1"/>
  <c r="AU86" i="1"/>
  <c r="AV86" i="1"/>
  <c r="AW86" i="1"/>
  <c r="AX86" i="1"/>
  <c r="AY86" i="1"/>
  <c r="AZ86" i="1"/>
  <c r="BA86" i="1"/>
  <c r="BB86" i="1"/>
  <c r="H87" i="1"/>
  <c r="I87" i="1"/>
  <c r="K87" i="1"/>
  <c r="L87" i="1"/>
  <c r="P87" i="1"/>
  <c r="S87" i="1"/>
  <c r="T87" i="1"/>
  <c r="U87" i="1"/>
  <c r="V87" i="1"/>
  <c r="W87" i="1"/>
  <c r="X87" i="1"/>
  <c r="Y87" i="1"/>
  <c r="Z87" i="1"/>
  <c r="AA87" i="1"/>
  <c r="AB87" i="1"/>
  <c r="AJ87" i="1"/>
  <c r="AK87" i="1"/>
  <c r="AL87" i="1"/>
  <c r="AM87" i="1"/>
  <c r="AN87" i="1"/>
  <c r="AO87" i="1"/>
  <c r="AP87" i="1"/>
  <c r="AQ87" i="1"/>
  <c r="AR87" i="1"/>
  <c r="AS87" i="1"/>
  <c r="AT87" i="1"/>
  <c r="AU87" i="1"/>
  <c r="AV87" i="1"/>
  <c r="AW87" i="1"/>
  <c r="AX87" i="1"/>
  <c r="AY87" i="1"/>
  <c r="AZ87" i="1"/>
  <c r="BA87" i="1"/>
  <c r="BB87" i="1"/>
  <c r="H88" i="1"/>
  <c r="I88" i="1"/>
  <c r="K88" i="1"/>
  <c r="L88" i="1"/>
  <c r="P88" i="1"/>
  <c r="S88" i="1"/>
  <c r="T88" i="1"/>
  <c r="U88" i="1"/>
  <c r="V88" i="1"/>
  <c r="W88" i="1"/>
  <c r="X88" i="1"/>
  <c r="Y88" i="1"/>
  <c r="Z88" i="1"/>
  <c r="AA88" i="1"/>
  <c r="AB88" i="1"/>
  <c r="AJ88" i="1"/>
  <c r="AK88" i="1"/>
  <c r="AL88" i="1"/>
  <c r="AM88" i="1"/>
  <c r="AN88" i="1"/>
  <c r="AO88" i="1"/>
  <c r="AP88" i="1"/>
  <c r="AQ88" i="1"/>
  <c r="AR88" i="1"/>
  <c r="AS88" i="1"/>
  <c r="AT88" i="1"/>
  <c r="AU88" i="1"/>
  <c r="AV88" i="1"/>
  <c r="AW88" i="1"/>
  <c r="AX88" i="1"/>
  <c r="AY88" i="1"/>
  <c r="AZ88" i="1"/>
  <c r="BA88" i="1"/>
  <c r="BB88" i="1"/>
  <c r="H89" i="1"/>
  <c r="I89" i="1"/>
  <c r="K89" i="1"/>
  <c r="L89" i="1"/>
  <c r="P89" i="1"/>
  <c r="S89" i="1"/>
  <c r="T89" i="1"/>
  <c r="U89" i="1"/>
  <c r="V89" i="1"/>
  <c r="W89" i="1"/>
  <c r="X89" i="1"/>
  <c r="Y89" i="1"/>
  <c r="Z89" i="1"/>
  <c r="AA89" i="1"/>
  <c r="AB89" i="1"/>
  <c r="AJ89" i="1"/>
  <c r="AK89" i="1"/>
  <c r="AL89" i="1"/>
  <c r="AM89" i="1"/>
  <c r="AN89" i="1"/>
  <c r="AO89" i="1"/>
  <c r="AP89" i="1"/>
  <c r="AQ89" i="1"/>
  <c r="AR89" i="1"/>
  <c r="AS89" i="1"/>
  <c r="AT89" i="1"/>
  <c r="AU89" i="1"/>
  <c r="AV89" i="1"/>
  <c r="AW89" i="1"/>
  <c r="AX89" i="1"/>
  <c r="AY89" i="1"/>
  <c r="AZ89" i="1"/>
  <c r="BA89" i="1"/>
  <c r="BB89" i="1"/>
  <c r="H90" i="1"/>
  <c r="I90" i="1"/>
  <c r="K90" i="1"/>
  <c r="L90" i="1"/>
  <c r="P90" i="1"/>
  <c r="S90" i="1"/>
  <c r="T90" i="1"/>
  <c r="U90" i="1"/>
  <c r="V90" i="1"/>
  <c r="W90" i="1"/>
  <c r="X90" i="1"/>
  <c r="Y90" i="1"/>
  <c r="Z90" i="1"/>
  <c r="AA90" i="1"/>
  <c r="AB90" i="1"/>
  <c r="AJ90" i="1"/>
  <c r="AK90" i="1"/>
  <c r="AL90" i="1"/>
  <c r="AM90" i="1"/>
  <c r="AN90" i="1"/>
  <c r="AO90" i="1"/>
  <c r="AP90" i="1"/>
  <c r="AQ90" i="1"/>
  <c r="AR90" i="1"/>
  <c r="AS90" i="1"/>
  <c r="AT90" i="1"/>
  <c r="AU90" i="1"/>
  <c r="AV90" i="1"/>
  <c r="AW90" i="1"/>
  <c r="AX90" i="1"/>
  <c r="AY90" i="1"/>
  <c r="AZ90" i="1"/>
  <c r="BA90" i="1"/>
  <c r="BB90" i="1"/>
  <c r="H91" i="1"/>
  <c r="I91" i="1"/>
  <c r="K91" i="1"/>
  <c r="L91" i="1"/>
  <c r="P91" i="1"/>
  <c r="S91" i="1"/>
  <c r="T91" i="1"/>
  <c r="U91" i="1"/>
  <c r="V91" i="1"/>
  <c r="W91" i="1"/>
  <c r="X91" i="1"/>
  <c r="Y91" i="1"/>
  <c r="Z91" i="1"/>
  <c r="AA91" i="1"/>
  <c r="AB91" i="1"/>
  <c r="AJ91" i="1"/>
  <c r="AK91" i="1"/>
  <c r="AL91" i="1"/>
  <c r="AM91" i="1"/>
  <c r="AN91" i="1"/>
  <c r="AO91" i="1"/>
  <c r="AP91" i="1"/>
  <c r="AQ91" i="1"/>
  <c r="AR91" i="1"/>
  <c r="AS91" i="1"/>
  <c r="AT91" i="1"/>
  <c r="AU91" i="1"/>
  <c r="AV91" i="1"/>
  <c r="AW91" i="1"/>
  <c r="AX91" i="1"/>
  <c r="AY91" i="1"/>
  <c r="AZ91" i="1"/>
  <c r="BA91" i="1"/>
  <c r="BB91" i="1"/>
  <c r="H92" i="1"/>
  <c r="I92" i="1"/>
  <c r="K92" i="1"/>
  <c r="L92" i="1"/>
  <c r="P92" i="1"/>
  <c r="S92" i="1"/>
  <c r="T92" i="1"/>
  <c r="U92" i="1"/>
  <c r="V92" i="1"/>
  <c r="W92" i="1"/>
  <c r="X92" i="1"/>
  <c r="Y92" i="1"/>
  <c r="Z92" i="1"/>
  <c r="AA92" i="1"/>
  <c r="AB92" i="1"/>
  <c r="AJ92" i="1"/>
  <c r="AK92" i="1"/>
  <c r="AL92" i="1"/>
  <c r="AM92" i="1"/>
  <c r="AN92" i="1"/>
  <c r="AO92" i="1"/>
  <c r="AP92" i="1"/>
  <c r="AQ92" i="1"/>
  <c r="AR92" i="1"/>
  <c r="AS92" i="1"/>
  <c r="AT92" i="1"/>
  <c r="AU92" i="1"/>
  <c r="AV92" i="1"/>
  <c r="AW92" i="1"/>
  <c r="AX92" i="1"/>
  <c r="AY92" i="1"/>
  <c r="AZ92" i="1"/>
  <c r="BA92" i="1"/>
  <c r="BB92" i="1"/>
  <c r="H93" i="1"/>
  <c r="I93" i="1"/>
  <c r="K93" i="1"/>
  <c r="L93" i="1"/>
  <c r="P93" i="1"/>
  <c r="S93" i="1"/>
  <c r="T93" i="1"/>
  <c r="U93" i="1"/>
  <c r="V93" i="1"/>
  <c r="W93" i="1"/>
  <c r="X93" i="1"/>
  <c r="Y93" i="1"/>
  <c r="Z93" i="1"/>
  <c r="AA93" i="1"/>
  <c r="AB93" i="1"/>
  <c r="AJ93" i="1"/>
  <c r="AK93" i="1"/>
  <c r="AL93" i="1"/>
  <c r="AM93" i="1"/>
  <c r="AN93" i="1"/>
  <c r="AO93" i="1"/>
  <c r="AP93" i="1"/>
  <c r="AQ93" i="1"/>
  <c r="AR93" i="1"/>
  <c r="AS93" i="1"/>
  <c r="AT93" i="1"/>
  <c r="AU93" i="1"/>
  <c r="AV93" i="1"/>
  <c r="AW93" i="1"/>
  <c r="AX93" i="1"/>
  <c r="AY93" i="1"/>
  <c r="AZ93" i="1"/>
  <c r="BA93" i="1"/>
  <c r="BB93" i="1"/>
  <c r="H94" i="1"/>
  <c r="I94" i="1"/>
  <c r="K94" i="1"/>
  <c r="L94" i="1"/>
  <c r="P94" i="1"/>
  <c r="S94" i="1"/>
  <c r="T94" i="1"/>
  <c r="U94" i="1"/>
  <c r="V94" i="1"/>
  <c r="W94" i="1"/>
  <c r="X94" i="1"/>
  <c r="Y94" i="1"/>
  <c r="Z94" i="1"/>
  <c r="AA94" i="1"/>
  <c r="AB94" i="1"/>
  <c r="AJ94" i="1"/>
  <c r="AK94" i="1"/>
  <c r="AL94" i="1"/>
  <c r="AM94" i="1"/>
  <c r="AN94" i="1"/>
  <c r="AO94" i="1"/>
  <c r="AP94" i="1"/>
  <c r="AQ94" i="1"/>
  <c r="AR94" i="1"/>
  <c r="AS94" i="1"/>
  <c r="AT94" i="1"/>
  <c r="AU94" i="1"/>
  <c r="AV94" i="1"/>
  <c r="AW94" i="1"/>
  <c r="AX94" i="1"/>
  <c r="AY94" i="1"/>
  <c r="AZ94" i="1"/>
  <c r="BA94" i="1"/>
  <c r="BB94" i="1"/>
  <c r="H95" i="1"/>
  <c r="I95" i="1"/>
  <c r="K95" i="1"/>
  <c r="L95" i="1"/>
  <c r="P95" i="1"/>
  <c r="S95" i="1"/>
  <c r="T95" i="1"/>
  <c r="U95" i="1"/>
  <c r="V95" i="1"/>
  <c r="W95" i="1"/>
  <c r="X95" i="1"/>
  <c r="Y95" i="1"/>
  <c r="Z95" i="1"/>
  <c r="AA95" i="1"/>
  <c r="AB95" i="1"/>
  <c r="AJ95" i="1"/>
  <c r="AK95" i="1"/>
  <c r="AL95" i="1"/>
  <c r="AM95" i="1"/>
  <c r="AN95" i="1"/>
  <c r="AO95" i="1"/>
  <c r="AP95" i="1"/>
  <c r="AQ95" i="1"/>
  <c r="AR95" i="1"/>
  <c r="AS95" i="1"/>
  <c r="AT95" i="1"/>
  <c r="AU95" i="1"/>
  <c r="AV95" i="1"/>
  <c r="AW95" i="1"/>
  <c r="AX95" i="1"/>
  <c r="AY95" i="1"/>
  <c r="AZ95" i="1"/>
  <c r="BA95" i="1"/>
  <c r="BB95" i="1"/>
  <c r="H96" i="1"/>
  <c r="I96" i="1"/>
  <c r="K96" i="1"/>
  <c r="L96" i="1"/>
  <c r="P96" i="1"/>
  <c r="S96" i="1"/>
  <c r="T96" i="1"/>
  <c r="U96" i="1"/>
  <c r="V96" i="1"/>
  <c r="W96" i="1"/>
  <c r="X96" i="1"/>
  <c r="Y96" i="1"/>
  <c r="Z96" i="1"/>
  <c r="AA96" i="1"/>
  <c r="AB96" i="1"/>
  <c r="AJ96" i="1"/>
  <c r="AK96" i="1"/>
  <c r="AL96" i="1"/>
  <c r="AM96" i="1"/>
  <c r="AN96" i="1"/>
  <c r="AO96" i="1"/>
  <c r="AP96" i="1"/>
  <c r="AQ96" i="1"/>
  <c r="AR96" i="1"/>
  <c r="AS96" i="1"/>
  <c r="AT96" i="1"/>
  <c r="AU96" i="1"/>
  <c r="AV96" i="1"/>
  <c r="AW96" i="1"/>
  <c r="AX96" i="1"/>
  <c r="AY96" i="1"/>
  <c r="AZ96" i="1"/>
  <c r="BA96" i="1"/>
  <c r="BB96" i="1"/>
  <c r="H97" i="1"/>
  <c r="I97" i="1"/>
  <c r="K97" i="1"/>
  <c r="L97" i="1"/>
  <c r="P97" i="1"/>
  <c r="S97" i="1"/>
  <c r="T97" i="1"/>
  <c r="U97" i="1"/>
  <c r="V97" i="1"/>
  <c r="W97" i="1"/>
  <c r="X97" i="1"/>
  <c r="Y97" i="1"/>
  <c r="Z97" i="1"/>
  <c r="AA97" i="1"/>
  <c r="AB97" i="1"/>
  <c r="AJ97" i="1"/>
  <c r="AK97" i="1"/>
  <c r="AL97" i="1"/>
  <c r="AM97" i="1"/>
  <c r="AN97" i="1"/>
  <c r="AO97" i="1"/>
  <c r="AP97" i="1"/>
  <c r="AQ97" i="1"/>
  <c r="AR97" i="1"/>
  <c r="AS97" i="1"/>
  <c r="AT97" i="1"/>
  <c r="AU97" i="1"/>
  <c r="AV97" i="1"/>
  <c r="AW97" i="1"/>
  <c r="AX97" i="1"/>
  <c r="AY97" i="1"/>
  <c r="AZ97" i="1"/>
  <c r="BA97" i="1"/>
  <c r="BB97" i="1"/>
  <c r="H98" i="1"/>
  <c r="I98" i="1"/>
  <c r="K98" i="1"/>
  <c r="L98" i="1"/>
  <c r="P98" i="1"/>
  <c r="S98" i="1"/>
  <c r="T98" i="1"/>
  <c r="U98" i="1"/>
  <c r="V98" i="1"/>
  <c r="W98" i="1"/>
  <c r="X98" i="1"/>
  <c r="Y98" i="1"/>
  <c r="Z98" i="1"/>
  <c r="AA98" i="1"/>
  <c r="AB98" i="1"/>
  <c r="AJ98" i="1"/>
  <c r="AK98" i="1"/>
  <c r="AL98" i="1"/>
  <c r="AM98" i="1"/>
  <c r="AN98" i="1"/>
  <c r="AO98" i="1"/>
  <c r="AP98" i="1"/>
  <c r="AQ98" i="1"/>
  <c r="AR98" i="1"/>
  <c r="AS98" i="1"/>
  <c r="AT98" i="1"/>
  <c r="AU98" i="1"/>
  <c r="AV98" i="1"/>
  <c r="AW98" i="1"/>
  <c r="AX98" i="1"/>
  <c r="AY98" i="1"/>
  <c r="AZ98" i="1"/>
  <c r="BA98" i="1"/>
  <c r="BB98" i="1"/>
  <c r="H99" i="1"/>
  <c r="I99" i="1"/>
  <c r="K99" i="1"/>
  <c r="L99" i="1"/>
  <c r="P99" i="1"/>
  <c r="S99" i="1"/>
  <c r="T99" i="1"/>
  <c r="U99" i="1"/>
  <c r="V99" i="1"/>
  <c r="W99" i="1"/>
  <c r="X99" i="1"/>
  <c r="Y99" i="1"/>
  <c r="Z99" i="1"/>
  <c r="AA99" i="1"/>
  <c r="AB99" i="1"/>
  <c r="AJ99" i="1"/>
  <c r="AK99" i="1"/>
  <c r="AL99" i="1"/>
  <c r="AM99" i="1"/>
  <c r="AN99" i="1"/>
  <c r="AO99" i="1"/>
  <c r="AP99" i="1"/>
  <c r="AQ99" i="1"/>
  <c r="AR99" i="1"/>
  <c r="AS99" i="1"/>
  <c r="AT99" i="1"/>
  <c r="AU99" i="1"/>
  <c r="AV99" i="1"/>
  <c r="AW99" i="1"/>
  <c r="AX99" i="1"/>
  <c r="AY99" i="1"/>
  <c r="AZ99" i="1"/>
  <c r="BA99" i="1"/>
  <c r="BB99" i="1"/>
  <c r="H100" i="1"/>
  <c r="I100" i="1"/>
  <c r="K100" i="1"/>
  <c r="L100" i="1"/>
  <c r="P100" i="1"/>
  <c r="S100" i="1"/>
  <c r="T100" i="1"/>
  <c r="U100" i="1"/>
  <c r="V100" i="1"/>
  <c r="W100" i="1"/>
  <c r="X100" i="1"/>
  <c r="Y100" i="1"/>
  <c r="Z100" i="1"/>
  <c r="AA100" i="1"/>
  <c r="AB100" i="1"/>
  <c r="AJ100" i="1"/>
  <c r="AK100" i="1"/>
  <c r="AL100" i="1"/>
  <c r="AM100" i="1"/>
  <c r="AN100" i="1"/>
  <c r="AO100" i="1"/>
  <c r="AP100" i="1"/>
  <c r="AQ100" i="1"/>
  <c r="AR100" i="1"/>
  <c r="AS100" i="1"/>
  <c r="AT100" i="1"/>
  <c r="AU100" i="1"/>
  <c r="AV100" i="1"/>
  <c r="AW100" i="1"/>
  <c r="AX100" i="1"/>
  <c r="AY100" i="1"/>
  <c r="AZ100" i="1"/>
  <c r="BA100" i="1"/>
  <c r="BB100" i="1"/>
  <c r="H101" i="1"/>
  <c r="I101" i="1"/>
  <c r="K101" i="1"/>
  <c r="L101" i="1"/>
  <c r="P101" i="1"/>
  <c r="S101" i="1"/>
  <c r="T101" i="1"/>
  <c r="U101" i="1"/>
  <c r="V101" i="1"/>
  <c r="W101" i="1"/>
  <c r="X101" i="1"/>
  <c r="Y101" i="1"/>
  <c r="Z101" i="1"/>
  <c r="AA101" i="1"/>
  <c r="AB101" i="1"/>
  <c r="AJ101" i="1"/>
  <c r="AK101" i="1"/>
  <c r="AL101" i="1"/>
  <c r="AM101" i="1"/>
  <c r="AN101" i="1"/>
  <c r="AO101" i="1"/>
  <c r="AP101" i="1"/>
  <c r="AQ101" i="1"/>
  <c r="AR101" i="1"/>
  <c r="AS101" i="1"/>
  <c r="AT101" i="1"/>
  <c r="AU101" i="1"/>
  <c r="AV101" i="1"/>
  <c r="AW101" i="1"/>
  <c r="AX101" i="1"/>
  <c r="AY101" i="1"/>
  <c r="AZ101" i="1"/>
  <c r="BA101" i="1"/>
  <c r="BB101" i="1"/>
  <c r="H102" i="1"/>
  <c r="I102" i="1"/>
  <c r="K102" i="1"/>
  <c r="L102" i="1"/>
  <c r="P102" i="1"/>
  <c r="S102" i="1"/>
  <c r="T102" i="1"/>
  <c r="U102" i="1"/>
  <c r="V102" i="1"/>
  <c r="W102" i="1"/>
  <c r="X102" i="1"/>
  <c r="Y102" i="1"/>
  <c r="Z102" i="1"/>
  <c r="AA102" i="1"/>
  <c r="AB102" i="1"/>
  <c r="AJ102" i="1"/>
  <c r="AK102" i="1"/>
  <c r="AL102" i="1"/>
  <c r="AM102" i="1"/>
  <c r="AN102" i="1"/>
  <c r="AO102" i="1"/>
  <c r="AP102" i="1"/>
  <c r="AQ102" i="1"/>
  <c r="AR102" i="1"/>
  <c r="AS102" i="1"/>
  <c r="AT102" i="1"/>
  <c r="AU102" i="1"/>
  <c r="AV102" i="1"/>
  <c r="AW102" i="1"/>
  <c r="AX102" i="1"/>
  <c r="AY102" i="1"/>
  <c r="AZ102" i="1"/>
  <c r="BA102" i="1"/>
  <c r="BB102" i="1"/>
  <c r="H103" i="1"/>
  <c r="I103" i="1"/>
  <c r="K103" i="1"/>
  <c r="L103" i="1"/>
  <c r="P103" i="1"/>
  <c r="S103" i="1"/>
  <c r="T103" i="1"/>
  <c r="U103" i="1"/>
  <c r="V103" i="1"/>
  <c r="W103" i="1"/>
  <c r="X103" i="1"/>
  <c r="Y103" i="1"/>
  <c r="Z103" i="1"/>
  <c r="AA103" i="1"/>
  <c r="AB103" i="1"/>
  <c r="AJ103" i="1"/>
  <c r="AK103" i="1"/>
  <c r="AL103" i="1"/>
  <c r="AM103" i="1"/>
  <c r="AN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BB103" i="1"/>
  <c r="H104" i="1"/>
  <c r="I104" i="1"/>
  <c r="K104" i="1"/>
  <c r="L104" i="1"/>
  <c r="P104" i="1"/>
  <c r="S104" i="1"/>
  <c r="T104" i="1"/>
  <c r="U104" i="1"/>
  <c r="V104" i="1"/>
  <c r="W104" i="1"/>
  <c r="X104" i="1"/>
  <c r="Y104" i="1"/>
  <c r="Z104" i="1"/>
  <c r="AA104" i="1"/>
  <c r="AB104" i="1"/>
  <c r="AJ104" i="1"/>
  <c r="AK104" i="1"/>
  <c r="AL104" i="1"/>
  <c r="AM104" i="1"/>
  <c r="AN104" i="1"/>
  <c r="AO104" i="1"/>
  <c r="AP104" i="1"/>
  <c r="AQ104" i="1"/>
  <c r="AR104" i="1"/>
  <c r="AS104" i="1"/>
  <c r="AT104" i="1"/>
  <c r="AU104" i="1"/>
  <c r="AV104" i="1"/>
  <c r="AW104" i="1"/>
  <c r="AX104" i="1"/>
  <c r="AY104" i="1"/>
  <c r="AZ104" i="1"/>
  <c r="BA104" i="1"/>
  <c r="BB104" i="1"/>
  <c r="H105" i="1"/>
  <c r="I105" i="1"/>
  <c r="K105" i="1"/>
  <c r="L105" i="1"/>
  <c r="P105" i="1"/>
  <c r="S105" i="1"/>
  <c r="T105" i="1"/>
  <c r="U105" i="1"/>
  <c r="V105" i="1"/>
  <c r="W105" i="1"/>
  <c r="X105" i="1"/>
  <c r="Y105" i="1"/>
  <c r="Z105" i="1"/>
  <c r="AA105" i="1"/>
  <c r="AB105" i="1"/>
  <c r="AJ105" i="1"/>
  <c r="AK105" i="1"/>
  <c r="AL105" i="1"/>
  <c r="AM105" i="1"/>
  <c r="AN105" i="1"/>
  <c r="AO105" i="1"/>
  <c r="AP105" i="1"/>
  <c r="AQ105" i="1"/>
  <c r="AR105" i="1"/>
  <c r="AS105" i="1"/>
  <c r="AT105" i="1"/>
  <c r="AU105" i="1"/>
  <c r="AV105" i="1"/>
  <c r="AW105" i="1"/>
  <c r="AX105" i="1"/>
  <c r="AY105" i="1"/>
  <c r="AZ105" i="1"/>
  <c r="BA105" i="1"/>
  <c r="BB105" i="1"/>
  <c r="H106" i="1"/>
  <c r="I106" i="1"/>
  <c r="K106" i="1"/>
  <c r="L106" i="1"/>
  <c r="P106" i="1"/>
  <c r="S106" i="1"/>
  <c r="T106" i="1"/>
  <c r="U106" i="1"/>
  <c r="V106" i="1"/>
  <c r="W106" i="1"/>
  <c r="X106" i="1"/>
  <c r="Y106" i="1"/>
  <c r="Z106" i="1"/>
  <c r="AA106" i="1"/>
  <c r="AB106" i="1"/>
  <c r="AJ106" i="1"/>
  <c r="AK106" i="1"/>
  <c r="AL106" i="1"/>
  <c r="AM106" i="1"/>
  <c r="AN106" i="1"/>
  <c r="AO106" i="1"/>
  <c r="AP106" i="1"/>
  <c r="AQ106" i="1"/>
  <c r="AR106" i="1"/>
  <c r="AS106" i="1"/>
  <c r="AT106" i="1"/>
  <c r="AU106" i="1"/>
  <c r="AV106" i="1"/>
  <c r="AW106" i="1"/>
  <c r="AX106" i="1"/>
  <c r="AY106" i="1"/>
  <c r="AZ106" i="1"/>
  <c r="BA106" i="1"/>
  <c r="BB106" i="1"/>
  <c r="H107" i="1"/>
  <c r="I107" i="1"/>
  <c r="K107" i="1"/>
  <c r="L107" i="1"/>
  <c r="P107" i="1"/>
  <c r="S107" i="1"/>
  <c r="T107" i="1"/>
  <c r="U107" i="1"/>
  <c r="V107" i="1"/>
  <c r="W107" i="1"/>
  <c r="X107" i="1"/>
  <c r="Y107" i="1"/>
  <c r="Z107" i="1"/>
  <c r="AA107" i="1"/>
  <c r="AB107" i="1"/>
  <c r="AJ107" i="1"/>
  <c r="AK107" i="1"/>
  <c r="AL107" i="1"/>
  <c r="AM107" i="1"/>
  <c r="AN107" i="1"/>
  <c r="AO107" i="1"/>
  <c r="AP107" i="1"/>
  <c r="AQ107" i="1"/>
  <c r="AR107" i="1"/>
  <c r="AS107" i="1"/>
  <c r="AT107" i="1"/>
  <c r="AU107" i="1"/>
  <c r="AV107" i="1"/>
  <c r="AW107" i="1"/>
  <c r="AX107" i="1"/>
  <c r="AY107" i="1"/>
  <c r="AZ107" i="1"/>
  <c r="BA107" i="1"/>
  <c r="BB107" i="1"/>
  <c r="H108" i="1"/>
  <c r="I108" i="1"/>
  <c r="K108" i="1"/>
  <c r="L108" i="1"/>
  <c r="P108" i="1"/>
  <c r="S108" i="1"/>
  <c r="T108" i="1"/>
  <c r="U108" i="1"/>
  <c r="V108" i="1"/>
  <c r="W108" i="1"/>
  <c r="X108" i="1"/>
  <c r="Y108" i="1"/>
  <c r="Z108" i="1"/>
  <c r="AA108" i="1"/>
  <c r="AB108" i="1"/>
  <c r="AJ108" i="1"/>
  <c r="AK108" i="1"/>
  <c r="AL108" i="1"/>
  <c r="AM108" i="1"/>
  <c r="AN108" i="1"/>
  <c r="AO108" i="1"/>
  <c r="AP108" i="1"/>
  <c r="AQ108" i="1"/>
  <c r="AR108" i="1"/>
  <c r="AS108" i="1"/>
  <c r="AT108" i="1"/>
  <c r="AU108" i="1"/>
  <c r="AV108" i="1"/>
  <c r="AW108" i="1"/>
  <c r="AX108" i="1"/>
  <c r="AY108" i="1"/>
  <c r="AZ108" i="1"/>
  <c r="BA108" i="1"/>
  <c r="BB108" i="1"/>
  <c r="H109" i="1"/>
  <c r="I109" i="1"/>
  <c r="K109" i="1"/>
  <c r="L109" i="1"/>
  <c r="P109" i="1"/>
  <c r="S109" i="1"/>
  <c r="T109" i="1"/>
  <c r="U109" i="1"/>
  <c r="V109" i="1"/>
  <c r="W109" i="1"/>
  <c r="X109" i="1"/>
  <c r="Y109" i="1"/>
  <c r="Z109" i="1"/>
  <c r="AA109" i="1"/>
  <c r="AB109" i="1"/>
  <c r="AJ109" i="1"/>
  <c r="AK109" i="1"/>
  <c r="AL109" i="1"/>
  <c r="AM109" i="1"/>
  <c r="AN109" i="1"/>
  <c r="AO109" i="1"/>
  <c r="AP109" i="1"/>
  <c r="AQ109" i="1"/>
  <c r="AR109" i="1"/>
  <c r="AS109" i="1"/>
  <c r="AT109" i="1"/>
  <c r="AU109" i="1"/>
  <c r="AV109" i="1"/>
  <c r="AW109" i="1"/>
  <c r="AX109" i="1"/>
  <c r="AY109" i="1"/>
  <c r="AZ109" i="1"/>
  <c r="BA109" i="1"/>
  <c r="BB109" i="1"/>
  <c r="H110" i="1"/>
  <c r="I110" i="1"/>
  <c r="K110" i="1"/>
  <c r="L110" i="1"/>
  <c r="P110" i="1"/>
  <c r="S110" i="1"/>
  <c r="T110" i="1"/>
  <c r="U110" i="1"/>
  <c r="V110" i="1"/>
  <c r="W110" i="1"/>
  <c r="X110" i="1"/>
  <c r="Y110" i="1"/>
  <c r="Z110" i="1"/>
  <c r="AA110" i="1"/>
  <c r="AB110" i="1"/>
  <c r="AJ110" i="1"/>
  <c r="AK110" i="1"/>
  <c r="AL110" i="1"/>
  <c r="AM110" i="1"/>
  <c r="AN110" i="1"/>
  <c r="AO110" i="1"/>
  <c r="AP110" i="1"/>
  <c r="AQ110" i="1"/>
  <c r="AR110" i="1"/>
  <c r="AS110" i="1"/>
  <c r="AT110" i="1"/>
  <c r="AU110" i="1"/>
  <c r="AV110" i="1"/>
  <c r="AW110" i="1"/>
  <c r="AX110" i="1"/>
  <c r="AY110" i="1"/>
  <c r="AZ110" i="1"/>
  <c r="BA110" i="1"/>
  <c r="BB110" i="1"/>
  <c r="H111" i="1"/>
  <c r="I111" i="1"/>
  <c r="K111" i="1"/>
  <c r="L111" i="1"/>
  <c r="P111" i="1"/>
  <c r="S111" i="1"/>
  <c r="T111" i="1"/>
  <c r="U111" i="1"/>
  <c r="V111" i="1"/>
  <c r="W111" i="1"/>
  <c r="X111" i="1"/>
  <c r="Y111" i="1"/>
  <c r="Z111" i="1"/>
  <c r="AA111" i="1"/>
  <c r="AB111" i="1"/>
  <c r="AJ111" i="1"/>
  <c r="AK111" i="1"/>
  <c r="AL111" i="1"/>
  <c r="AM111" i="1"/>
  <c r="AN111" i="1"/>
  <c r="AO111" i="1"/>
  <c r="AP111" i="1"/>
  <c r="AQ111" i="1"/>
  <c r="AR111" i="1"/>
  <c r="AS111" i="1"/>
  <c r="AT111" i="1"/>
  <c r="AU111" i="1"/>
  <c r="AV111" i="1"/>
  <c r="AW111" i="1"/>
  <c r="AX111" i="1"/>
  <c r="AY111" i="1"/>
  <c r="AZ111" i="1"/>
  <c r="BA111" i="1"/>
  <c r="BB111" i="1"/>
  <c r="H112" i="1"/>
  <c r="I112" i="1"/>
  <c r="K112" i="1"/>
  <c r="L112" i="1"/>
  <c r="P112" i="1"/>
  <c r="S112" i="1"/>
  <c r="T112" i="1"/>
  <c r="U112" i="1"/>
  <c r="V112" i="1"/>
  <c r="W112" i="1"/>
  <c r="X112" i="1"/>
  <c r="Y112" i="1"/>
  <c r="Z112" i="1"/>
  <c r="AA112" i="1"/>
  <c r="AB112" i="1"/>
  <c r="AJ112" i="1"/>
  <c r="AK112" i="1"/>
  <c r="AL112" i="1"/>
  <c r="AM112" i="1"/>
  <c r="AN112" i="1"/>
  <c r="AO112" i="1"/>
  <c r="AP112" i="1"/>
  <c r="AQ112" i="1"/>
  <c r="AR112" i="1"/>
  <c r="AS112" i="1"/>
  <c r="AT112" i="1"/>
  <c r="AU112" i="1"/>
  <c r="AV112" i="1"/>
  <c r="AW112" i="1"/>
  <c r="AX112" i="1"/>
  <c r="AY112" i="1"/>
  <c r="AZ112" i="1"/>
  <c r="BA112" i="1"/>
  <c r="BB112" i="1"/>
  <c r="H113" i="1"/>
  <c r="I113" i="1"/>
  <c r="K113" i="1"/>
  <c r="L113" i="1"/>
  <c r="P113" i="1"/>
  <c r="S113" i="1"/>
  <c r="T113" i="1"/>
  <c r="U113" i="1"/>
  <c r="V113" i="1"/>
  <c r="W113" i="1"/>
  <c r="X113" i="1"/>
  <c r="Y113" i="1"/>
  <c r="Z113" i="1"/>
  <c r="AA113" i="1"/>
  <c r="AB113" i="1"/>
  <c r="AJ113" i="1"/>
  <c r="AK113" i="1"/>
  <c r="AL113" i="1"/>
  <c r="AM113" i="1"/>
  <c r="AN113" i="1"/>
  <c r="AO113" i="1"/>
  <c r="AP113" i="1"/>
  <c r="AQ113" i="1"/>
  <c r="AR113" i="1"/>
  <c r="AS113" i="1"/>
  <c r="AT113" i="1"/>
  <c r="AU113" i="1"/>
  <c r="AV113" i="1"/>
  <c r="AW113" i="1"/>
  <c r="AX113" i="1"/>
  <c r="AY113" i="1"/>
  <c r="AZ113" i="1"/>
  <c r="BA113" i="1"/>
  <c r="BB113" i="1"/>
  <c r="H114" i="1"/>
  <c r="I114" i="1"/>
  <c r="K114" i="1"/>
  <c r="L114" i="1"/>
  <c r="P114" i="1"/>
  <c r="S114" i="1"/>
  <c r="T114" i="1"/>
  <c r="U114" i="1"/>
  <c r="V114" i="1"/>
  <c r="W114" i="1"/>
  <c r="X114" i="1"/>
  <c r="Y114" i="1"/>
  <c r="Z114" i="1"/>
  <c r="AA114" i="1"/>
  <c r="AB114" i="1"/>
  <c r="AJ114" i="1"/>
  <c r="AK114" i="1"/>
  <c r="AL114" i="1"/>
  <c r="AM114" i="1"/>
  <c r="AN114" i="1"/>
  <c r="AO114" i="1"/>
  <c r="AP114" i="1"/>
  <c r="AQ114" i="1"/>
  <c r="AR114" i="1"/>
  <c r="AS114" i="1"/>
  <c r="AT114" i="1"/>
  <c r="AU114" i="1"/>
  <c r="AV114" i="1"/>
  <c r="AW114" i="1"/>
  <c r="AX114" i="1"/>
  <c r="AY114" i="1"/>
  <c r="AZ114" i="1"/>
  <c r="BA114" i="1"/>
  <c r="BB114" i="1"/>
  <c r="H115" i="1"/>
  <c r="I115" i="1"/>
  <c r="K115" i="1"/>
  <c r="L115" i="1"/>
  <c r="P115" i="1"/>
  <c r="S115" i="1"/>
  <c r="T115" i="1"/>
  <c r="U115" i="1"/>
  <c r="V115" i="1"/>
  <c r="W115" i="1"/>
  <c r="X115" i="1"/>
  <c r="Y115" i="1"/>
  <c r="Z115" i="1"/>
  <c r="AA115" i="1"/>
  <c r="AB115" i="1"/>
  <c r="AJ115" i="1"/>
  <c r="AK115" i="1"/>
  <c r="AL115" i="1"/>
  <c r="AM115" i="1"/>
  <c r="AN115" i="1"/>
  <c r="AO115" i="1"/>
  <c r="AP115" i="1"/>
  <c r="AQ115" i="1"/>
  <c r="AR115" i="1"/>
  <c r="AS115" i="1"/>
  <c r="AT115" i="1"/>
  <c r="AU115" i="1"/>
  <c r="AV115" i="1"/>
  <c r="AW115" i="1"/>
  <c r="AX115" i="1"/>
  <c r="AY115" i="1"/>
  <c r="AZ115" i="1"/>
  <c r="BA115" i="1"/>
  <c r="BB115" i="1"/>
  <c r="H116" i="1"/>
  <c r="I116" i="1"/>
  <c r="K116" i="1"/>
  <c r="L116" i="1"/>
  <c r="P116" i="1"/>
  <c r="S116" i="1"/>
  <c r="T116" i="1"/>
  <c r="U116" i="1"/>
  <c r="V116" i="1"/>
  <c r="W116" i="1"/>
  <c r="X116" i="1"/>
  <c r="Y116" i="1"/>
  <c r="Z116" i="1"/>
  <c r="AA116" i="1"/>
  <c r="AB116" i="1"/>
  <c r="AJ116" i="1"/>
  <c r="AK116" i="1"/>
  <c r="AL116" i="1"/>
  <c r="AM116" i="1"/>
  <c r="AN116" i="1"/>
  <c r="AO116" i="1"/>
  <c r="AP116" i="1"/>
  <c r="AQ116" i="1"/>
  <c r="AR116" i="1"/>
  <c r="AS116" i="1"/>
  <c r="AT116" i="1"/>
  <c r="AU116" i="1"/>
  <c r="AV116" i="1"/>
  <c r="AW116" i="1"/>
  <c r="AX116" i="1"/>
  <c r="AY116" i="1"/>
  <c r="AZ116" i="1"/>
  <c r="BA116" i="1"/>
  <c r="BB116" i="1"/>
  <c r="H117" i="1"/>
  <c r="I117" i="1"/>
  <c r="K117" i="1"/>
  <c r="L117" i="1"/>
  <c r="P117" i="1"/>
  <c r="S117" i="1"/>
  <c r="T117" i="1"/>
  <c r="U117" i="1"/>
  <c r="V117" i="1"/>
  <c r="W117" i="1"/>
  <c r="X117" i="1"/>
  <c r="Y117" i="1"/>
  <c r="Z117" i="1"/>
  <c r="AA117" i="1"/>
  <c r="AB117" i="1"/>
  <c r="AJ117" i="1"/>
  <c r="AK117" i="1"/>
  <c r="AL117" i="1"/>
  <c r="AM117" i="1"/>
  <c r="AN117" i="1"/>
  <c r="AO117" i="1"/>
  <c r="AP117" i="1"/>
  <c r="AQ117" i="1"/>
  <c r="AR117" i="1"/>
  <c r="AS117" i="1"/>
  <c r="AT117" i="1"/>
  <c r="AU117" i="1"/>
  <c r="AV117" i="1"/>
  <c r="AW117" i="1"/>
  <c r="AX117" i="1"/>
  <c r="AY117" i="1"/>
  <c r="AZ117" i="1"/>
  <c r="BA117" i="1"/>
  <c r="BB117" i="1"/>
  <c r="H118" i="1"/>
  <c r="I118" i="1"/>
  <c r="K118" i="1"/>
  <c r="L118" i="1"/>
  <c r="P118" i="1"/>
  <c r="S118" i="1"/>
  <c r="T118" i="1"/>
  <c r="U118" i="1"/>
  <c r="V118" i="1"/>
  <c r="W118" i="1"/>
  <c r="X118" i="1"/>
  <c r="Y118" i="1"/>
  <c r="Z118" i="1"/>
  <c r="AA118" i="1"/>
  <c r="AB118" i="1"/>
  <c r="AJ118" i="1"/>
  <c r="AK118" i="1"/>
  <c r="AL118" i="1"/>
  <c r="AM118" i="1"/>
  <c r="AN118" i="1"/>
  <c r="AO118" i="1"/>
  <c r="AP118" i="1"/>
  <c r="AQ118" i="1"/>
  <c r="AR118" i="1"/>
  <c r="AS118" i="1"/>
  <c r="AT118" i="1"/>
  <c r="AU118" i="1"/>
  <c r="AV118" i="1"/>
  <c r="AW118" i="1"/>
  <c r="AX118" i="1"/>
  <c r="AY118" i="1"/>
  <c r="AZ118" i="1"/>
  <c r="BA118" i="1"/>
  <c r="BB118" i="1"/>
  <c r="H119" i="1"/>
  <c r="I119" i="1"/>
  <c r="K119" i="1"/>
  <c r="L119" i="1"/>
  <c r="P119" i="1"/>
  <c r="S119" i="1"/>
  <c r="T119" i="1"/>
  <c r="U119" i="1"/>
  <c r="V119" i="1"/>
  <c r="W119" i="1"/>
  <c r="X119" i="1"/>
  <c r="Y119" i="1"/>
  <c r="Z119" i="1"/>
  <c r="AA119" i="1"/>
  <c r="AB119" i="1"/>
  <c r="AJ119" i="1"/>
  <c r="AK119" i="1"/>
  <c r="AL119" i="1"/>
  <c r="AM119" i="1"/>
  <c r="AN119" i="1"/>
  <c r="AO119" i="1"/>
  <c r="AP119" i="1"/>
  <c r="AQ119" i="1"/>
  <c r="AR119" i="1"/>
  <c r="AS119" i="1"/>
  <c r="AT119" i="1"/>
  <c r="AU119" i="1"/>
  <c r="AV119" i="1"/>
  <c r="AW119" i="1"/>
  <c r="AX119" i="1"/>
  <c r="AY119" i="1"/>
  <c r="AZ119" i="1"/>
  <c r="BA119" i="1"/>
  <c r="BB119" i="1"/>
  <c r="H120" i="1"/>
  <c r="I120" i="1"/>
  <c r="K120" i="1"/>
  <c r="L120" i="1"/>
  <c r="P120" i="1"/>
  <c r="S120" i="1"/>
  <c r="T120" i="1"/>
  <c r="U120" i="1"/>
  <c r="V120" i="1"/>
  <c r="W120" i="1"/>
  <c r="X120" i="1"/>
  <c r="Y120" i="1"/>
  <c r="Z120" i="1"/>
  <c r="AA120" i="1"/>
  <c r="AB120" i="1"/>
  <c r="AJ120" i="1"/>
  <c r="AK120" i="1"/>
  <c r="AL120" i="1"/>
  <c r="AM120" i="1"/>
  <c r="AN120" i="1"/>
  <c r="AO120" i="1"/>
  <c r="AP120" i="1"/>
  <c r="AQ120" i="1"/>
  <c r="AR120" i="1"/>
  <c r="AS120" i="1"/>
  <c r="AT120" i="1"/>
  <c r="AU120" i="1"/>
  <c r="AV120" i="1"/>
  <c r="AW120" i="1"/>
  <c r="AX120" i="1"/>
  <c r="AY120" i="1"/>
  <c r="AZ120" i="1"/>
  <c r="BA120" i="1"/>
  <c r="BB120" i="1"/>
  <c r="H121" i="1"/>
  <c r="I121" i="1"/>
  <c r="K121" i="1"/>
  <c r="L121" i="1"/>
  <c r="P121" i="1"/>
  <c r="S121" i="1"/>
  <c r="T121" i="1"/>
  <c r="U121" i="1"/>
  <c r="V121" i="1"/>
  <c r="W121" i="1"/>
  <c r="X121" i="1"/>
  <c r="Y121" i="1"/>
  <c r="Z121" i="1"/>
  <c r="AA121" i="1"/>
  <c r="AB121" i="1"/>
  <c r="AJ121" i="1"/>
  <c r="AK121" i="1"/>
  <c r="AL121" i="1"/>
  <c r="AM121" i="1"/>
  <c r="AN121" i="1"/>
  <c r="AO121" i="1"/>
  <c r="AP121" i="1"/>
  <c r="AQ121" i="1"/>
  <c r="AR121" i="1"/>
  <c r="AS121" i="1"/>
  <c r="AT121" i="1"/>
  <c r="AU121" i="1"/>
  <c r="AV121" i="1"/>
  <c r="AW121" i="1"/>
  <c r="AX121" i="1"/>
  <c r="AY121" i="1"/>
  <c r="AZ121" i="1"/>
  <c r="BA121" i="1"/>
  <c r="BB121" i="1"/>
  <c r="H122" i="1"/>
  <c r="I122" i="1"/>
  <c r="K122" i="1"/>
  <c r="L122" i="1"/>
  <c r="P122" i="1"/>
  <c r="S122" i="1"/>
  <c r="T122" i="1"/>
  <c r="U122" i="1"/>
  <c r="V122" i="1"/>
  <c r="W122" i="1"/>
  <c r="X122" i="1"/>
  <c r="Y122" i="1"/>
  <c r="Z122" i="1"/>
  <c r="AA122" i="1"/>
  <c r="AB122" i="1"/>
  <c r="AJ122" i="1"/>
  <c r="AK122" i="1"/>
  <c r="AL122" i="1"/>
  <c r="AM122" i="1"/>
  <c r="AN122" i="1"/>
  <c r="AO122" i="1"/>
  <c r="AP122" i="1"/>
  <c r="AQ122" i="1"/>
  <c r="AR122" i="1"/>
  <c r="AS122" i="1"/>
  <c r="AT122" i="1"/>
  <c r="AU122" i="1"/>
  <c r="AV122" i="1"/>
  <c r="AW122" i="1"/>
  <c r="AX122" i="1"/>
  <c r="AY122" i="1"/>
  <c r="AZ122" i="1"/>
  <c r="BA122" i="1"/>
  <c r="BB122" i="1"/>
  <c r="H123" i="1"/>
  <c r="I123" i="1"/>
  <c r="K123" i="1"/>
  <c r="L123" i="1"/>
  <c r="P123" i="1"/>
  <c r="S123" i="1"/>
  <c r="T123" i="1"/>
  <c r="U123" i="1"/>
  <c r="V123" i="1"/>
  <c r="W123" i="1"/>
  <c r="X123" i="1"/>
  <c r="Y123" i="1"/>
  <c r="Z123" i="1"/>
  <c r="AA123" i="1"/>
  <c r="AB123" i="1"/>
  <c r="AJ123" i="1"/>
  <c r="AK123" i="1"/>
  <c r="AL123" i="1"/>
  <c r="AM123" i="1"/>
  <c r="AN123" i="1"/>
  <c r="AO123" i="1"/>
  <c r="AP123" i="1"/>
  <c r="AQ123" i="1"/>
  <c r="AR123" i="1"/>
  <c r="AS123" i="1"/>
  <c r="AT123" i="1"/>
  <c r="AU123" i="1"/>
  <c r="AV123" i="1"/>
  <c r="AW123" i="1"/>
  <c r="AX123" i="1"/>
  <c r="AY123" i="1"/>
  <c r="AZ123" i="1"/>
  <c r="BA123" i="1"/>
  <c r="BB123" i="1"/>
  <c r="H124" i="1"/>
  <c r="I124" i="1"/>
  <c r="K124" i="1"/>
  <c r="L124" i="1"/>
  <c r="P124" i="1"/>
  <c r="S124" i="1"/>
  <c r="T124" i="1"/>
  <c r="U124" i="1"/>
  <c r="V124" i="1"/>
  <c r="W124" i="1"/>
  <c r="X124" i="1"/>
  <c r="Y124" i="1"/>
  <c r="Z124" i="1"/>
  <c r="AA124" i="1"/>
  <c r="AB124" i="1"/>
  <c r="AJ124" i="1"/>
  <c r="AK124" i="1"/>
  <c r="AL124" i="1"/>
  <c r="AM124" i="1"/>
  <c r="AN124" i="1"/>
  <c r="AO124" i="1"/>
  <c r="AP124" i="1"/>
  <c r="AQ124" i="1"/>
  <c r="AR124" i="1"/>
  <c r="AS124" i="1"/>
  <c r="AT124" i="1"/>
  <c r="AU124" i="1"/>
  <c r="AV124" i="1"/>
  <c r="AW124" i="1"/>
  <c r="AX124" i="1"/>
  <c r="AY124" i="1"/>
  <c r="AZ124" i="1"/>
  <c r="BA124" i="1"/>
  <c r="BB124" i="1"/>
  <c r="H125" i="1"/>
  <c r="I125" i="1"/>
  <c r="K125" i="1"/>
  <c r="L125" i="1"/>
  <c r="P125" i="1"/>
  <c r="S125" i="1"/>
  <c r="T125" i="1"/>
  <c r="U125" i="1"/>
  <c r="V125" i="1"/>
  <c r="W125" i="1"/>
  <c r="X125" i="1"/>
  <c r="Y125" i="1"/>
  <c r="Z125" i="1"/>
  <c r="AA125" i="1"/>
  <c r="AB125" i="1"/>
  <c r="AJ125" i="1"/>
  <c r="AK125" i="1"/>
  <c r="AL125" i="1"/>
  <c r="AM125" i="1"/>
  <c r="AN125" i="1"/>
  <c r="AO125" i="1"/>
  <c r="AP125" i="1"/>
  <c r="AQ125" i="1"/>
  <c r="AR125" i="1"/>
  <c r="AS125" i="1"/>
  <c r="AT125" i="1"/>
  <c r="AU125" i="1"/>
  <c r="AV125" i="1"/>
  <c r="AW125" i="1"/>
  <c r="AX125" i="1"/>
  <c r="AY125" i="1"/>
  <c r="AZ125" i="1"/>
  <c r="BA125" i="1"/>
  <c r="BB125" i="1"/>
  <c r="H126" i="1"/>
  <c r="I126" i="1"/>
  <c r="K126" i="1"/>
  <c r="L126" i="1"/>
  <c r="P126" i="1"/>
  <c r="S126" i="1"/>
  <c r="T126" i="1"/>
  <c r="U126" i="1"/>
  <c r="V126" i="1"/>
  <c r="W126" i="1"/>
  <c r="X126" i="1"/>
  <c r="Y126" i="1"/>
  <c r="Z126" i="1"/>
  <c r="AA126" i="1"/>
  <c r="AB126" i="1"/>
  <c r="AJ126" i="1"/>
  <c r="AK126" i="1"/>
  <c r="AL126" i="1"/>
  <c r="AM126" i="1"/>
  <c r="AN126" i="1"/>
  <c r="AO126" i="1"/>
  <c r="AP126" i="1"/>
  <c r="AQ126" i="1"/>
  <c r="AR126" i="1"/>
  <c r="AS126" i="1"/>
  <c r="AT126" i="1"/>
  <c r="AU126" i="1"/>
  <c r="AV126" i="1"/>
  <c r="AW126" i="1"/>
  <c r="AX126" i="1"/>
  <c r="AY126" i="1"/>
  <c r="AZ126" i="1"/>
  <c r="BA126" i="1"/>
  <c r="BB126" i="1"/>
  <c r="H127" i="1"/>
  <c r="I127" i="1"/>
  <c r="K127" i="1"/>
  <c r="L127" i="1"/>
  <c r="P127" i="1"/>
  <c r="S127" i="1"/>
  <c r="T127" i="1"/>
  <c r="U127" i="1"/>
  <c r="V127" i="1"/>
  <c r="W127" i="1"/>
  <c r="X127" i="1"/>
  <c r="Y127" i="1"/>
  <c r="Z127" i="1"/>
  <c r="AA127" i="1"/>
  <c r="AB127" i="1"/>
  <c r="AJ127" i="1"/>
  <c r="AK127" i="1"/>
  <c r="AL127" i="1"/>
  <c r="AM127" i="1"/>
  <c r="AN127" i="1"/>
  <c r="AO127" i="1"/>
  <c r="AP127" i="1"/>
  <c r="AQ127" i="1"/>
  <c r="AR127" i="1"/>
  <c r="AS127" i="1"/>
  <c r="AT127" i="1"/>
  <c r="AU127" i="1"/>
  <c r="AV127" i="1"/>
  <c r="AW127" i="1"/>
  <c r="AX127" i="1"/>
  <c r="AY127" i="1"/>
  <c r="AZ127" i="1"/>
  <c r="BA127" i="1"/>
  <c r="BB127" i="1"/>
  <c r="H128" i="1"/>
  <c r="I128" i="1"/>
  <c r="K128" i="1"/>
  <c r="L128" i="1"/>
  <c r="P128" i="1"/>
  <c r="S128" i="1"/>
  <c r="T128" i="1"/>
  <c r="U128" i="1"/>
  <c r="V128" i="1"/>
  <c r="W128" i="1"/>
  <c r="X128" i="1"/>
  <c r="Y128" i="1"/>
  <c r="Z128" i="1"/>
  <c r="AA128" i="1"/>
  <c r="AB128" i="1"/>
  <c r="AJ128" i="1"/>
  <c r="AK128" i="1"/>
  <c r="AL128" i="1"/>
  <c r="AM128" i="1"/>
  <c r="AN128" i="1"/>
  <c r="AO128" i="1"/>
  <c r="AP128" i="1"/>
  <c r="AQ128" i="1"/>
  <c r="AR128" i="1"/>
  <c r="AS128" i="1"/>
  <c r="AT128" i="1"/>
  <c r="AU128" i="1"/>
  <c r="AV128" i="1"/>
  <c r="AW128" i="1"/>
  <c r="AX128" i="1"/>
  <c r="AY128" i="1"/>
  <c r="AZ128" i="1"/>
  <c r="BA128" i="1"/>
  <c r="BB128" i="1"/>
  <c r="H129" i="1"/>
  <c r="I129" i="1"/>
  <c r="K129" i="1"/>
  <c r="L129" i="1"/>
  <c r="P129" i="1"/>
  <c r="S129" i="1"/>
  <c r="T129" i="1"/>
  <c r="U129" i="1"/>
  <c r="V129" i="1"/>
  <c r="W129" i="1"/>
  <c r="X129" i="1"/>
  <c r="Y129" i="1"/>
  <c r="Z129" i="1"/>
  <c r="AA129" i="1"/>
  <c r="AB129" i="1"/>
  <c r="AJ129" i="1"/>
  <c r="AK129" i="1"/>
  <c r="AL129" i="1"/>
  <c r="AM129" i="1"/>
  <c r="AN129" i="1"/>
  <c r="AO129" i="1"/>
  <c r="AP129" i="1"/>
  <c r="AQ129" i="1"/>
  <c r="AR129" i="1"/>
  <c r="AS129" i="1"/>
  <c r="AT129" i="1"/>
  <c r="AU129" i="1"/>
  <c r="AV129" i="1"/>
  <c r="AW129" i="1"/>
  <c r="AX129" i="1"/>
  <c r="AY129" i="1"/>
  <c r="AZ129" i="1"/>
  <c r="BA129" i="1"/>
  <c r="BB129" i="1"/>
  <c r="H130" i="1"/>
  <c r="I130" i="1"/>
  <c r="K130" i="1"/>
  <c r="L130" i="1"/>
  <c r="P130" i="1"/>
  <c r="S130" i="1"/>
  <c r="T130" i="1"/>
  <c r="U130" i="1"/>
  <c r="V130" i="1"/>
  <c r="W130" i="1"/>
  <c r="X130" i="1"/>
  <c r="Y130" i="1"/>
  <c r="Z130" i="1"/>
  <c r="AA130" i="1"/>
  <c r="AB130" i="1"/>
  <c r="AJ130" i="1"/>
  <c r="AK130" i="1"/>
  <c r="AL130" i="1"/>
  <c r="AM130" i="1"/>
  <c r="AN130" i="1"/>
  <c r="AO130" i="1"/>
  <c r="AP130" i="1"/>
  <c r="AQ130" i="1"/>
  <c r="AR130" i="1"/>
  <c r="AS130" i="1"/>
  <c r="AT130" i="1"/>
  <c r="AU130" i="1"/>
  <c r="AV130" i="1"/>
  <c r="AW130" i="1"/>
  <c r="AX130" i="1"/>
  <c r="AY130" i="1"/>
  <c r="AZ130" i="1"/>
  <c r="BA130" i="1"/>
  <c r="BB130" i="1"/>
  <c r="H131" i="1"/>
  <c r="I131" i="1"/>
  <c r="K131" i="1"/>
  <c r="L131" i="1"/>
  <c r="P131" i="1"/>
  <c r="S131" i="1"/>
  <c r="T131" i="1"/>
  <c r="U131" i="1"/>
  <c r="V131" i="1"/>
  <c r="W131" i="1"/>
  <c r="X131" i="1"/>
  <c r="Y131" i="1"/>
  <c r="Z131" i="1"/>
  <c r="AA131" i="1"/>
  <c r="AB131" i="1"/>
  <c r="AJ131" i="1"/>
  <c r="AK131" i="1"/>
  <c r="AL131" i="1"/>
  <c r="AM131" i="1"/>
  <c r="AN131" i="1"/>
  <c r="AO131" i="1"/>
  <c r="AP131" i="1"/>
  <c r="AQ131" i="1"/>
  <c r="AR131" i="1"/>
  <c r="AS131" i="1"/>
  <c r="AT131" i="1"/>
  <c r="AU131" i="1"/>
  <c r="AV131" i="1"/>
  <c r="AW131" i="1"/>
  <c r="AX131" i="1"/>
  <c r="AY131" i="1"/>
  <c r="AZ131" i="1"/>
  <c r="BA131" i="1"/>
  <c r="BB131" i="1"/>
  <c r="H132" i="1"/>
  <c r="I132" i="1"/>
  <c r="K132" i="1"/>
  <c r="L132" i="1"/>
  <c r="P132" i="1"/>
  <c r="S132" i="1"/>
  <c r="T132" i="1"/>
  <c r="U132" i="1"/>
  <c r="V132" i="1"/>
  <c r="W132" i="1"/>
  <c r="X132" i="1"/>
  <c r="Y132" i="1"/>
  <c r="Z132" i="1"/>
  <c r="AA132" i="1"/>
  <c r="AB132" i="1"/>
  <c r="AJ132" i="1"/>
  <c r="AK132" i="1"/>
  <c r="AL132" i="1"/>
  <c r="AM132" i="1"/>
  <c r="AN132" i="1"/>
  <c r="AO132" i="1"/>
  <c r="AP132" i="1"/>
  <c r="AQ132" i="1"/>
  <c r="AR132" i="1"/>
  <c r="AS132" i="1"/>
  <c r="AT132" i="1"/>
  <c r="AU132" i="1"/>
  <c r="AV132" i="1"/>
  <c r="AW132" i="1"/>
  <c r="AX132" i="1"/>
  <c r="AY132" i="1"/>
  <c r="AZ132" i="1"/>
  <c r="BA132" i="1"/>
  <c r="BB132" i="1"/>
  <c r="H133" i="1"/>
  <c r="I133" i="1"/>
  <c r="K133" i="1"/>
  <c r="L133" i="1"/>
  <c r="P133" i="1"/>
  <c r="S133" i="1"/>
  <c r="T133" i="1"/>
  <c r="U133" i="1"/>
  <c r="V133" i="1"/>
  <c r="W133" i="1"/>
  <c r="X133" i="1"/>
  <c r="Y133" i="1"/>
  <c r="Z133" i="1"/>
  <c r="AA133" i="1"/>
  <c r="AB133" i="1"/>
  <c r="AJ133" i="1"/>
  <c r="AK133" i="1"/>
  <c r="AL133" i="1"/>
  <c r="AM133" i="1"/>
  <c r="AN133" i="1"/>
  <c r="AO133" i="1"/>
  <c r="AP133" i="1"/>
  <c r="AQ133" i="1"/>
  <c r="AR133" i="1"/>
  <c r="AS133" i="1"/>
  <c r="AT133" i="1"/>
  <c r="AU133" i="1"/>
  <c r="AV133" i="1"/>
  <c r="AW133" i="1"/>
  <c r="AX133" i="1"/>
  <c r="AY133" i="1"/>
  <c r="AZ133" i="1"/>
  <c r="BA133" i="1"/>
  <c r="BB133" i="1"/>
  <c r="H134" i="1"/>
  <c r="I134" i="1"/>
  <c r="K134" i="1"/>
  <c r="L134" i="1"/>
  <c r="P134" i="1"/>
  <c r="S134" i="1"/>
  <c r="T134" i="1"/>
  <c r="U134" i="1"/>
  <c r="V134" i="1"/>
  <c r="W134" i="1"/>
  <c r="X134" i="1"/>
  <c r="Y134" i="1"/>
  <c r="Z134" i="1"/>
  <c r="AA134" i="1"/>
  <c r="AB134" i="1"/>
  <c r="AJ134" i="1"/>
  <c r="AK134" i="1"/>
  <c r="AL134" i="1"/>
  <c r="AM134" i="1"/>
  <c r="AN134" i="1"/>
  <c r="AO134" i="1"/>
  <c r="AP134" i="1"/>
  <c r="AQ134" i="1"/>
  <c r="AR134" i="1"/>
  <c r="AS134" i="1"/>
  <c r="AT134" i="1"/>
  <c r="AU134" i="1"/>
  <c r="AV134" i="1"/>
  <c r="AW134" i="1"/>
  <c r="AX134" i="1"/>
  <c r="AY134" i="1"/>
  <c r="AZ134" i="1"/>
  <c r="BA134" i="1"/>
  <c r="BB134" i="1"/>
  <c r="H135" i="1"/>
  <c r="I135" i="1"/>
  <c r="K135" i="1"/>
  <c r="L135" i="1"/>
  <c r="P135" i="1"/>
  <c r="S135" i="1"/>
  <c r="T135" i="1"/>
  <c r="U135" i="1"/>
  <c r="V135" i="1"/>
  <c r="W135" i="1"/>
  <c r="X135" i="1"/>
  <c r="Y135" i="1"/>
  <c r="Z135" i="1"/>
  <c r="AA135" i="1"/>
  <c r="AB135" i="1"/>
  <c r="AJ135" i="1"/>
  <c r="AK135" i="1"/>
  <c r="AL135" i="1"/>
  <c r="AM135" i="1"/>
  <c r="AN135" i="1"/>
  <c r="AO135" i="1"/>
  <c r="AP135" i="1"/>
  <c r="AQ135" i="1"/>
  <c r="AR135" i="1"/>
  <c r="AS135" i="1"/>
  <c r="AT135" i="1"/>
  <c r="AU135" i="1"/>
  <c r="AV135" i="1"/>
  <c r="AW135" i="1"/>
  <c r="AX135" i="1"/>
  <c r="AY135" i="1"/>
  <c r="AZ135" i="1"/>
  <c r="BA135" i="1"/>
  <c r="BB135" i="1"/>
  <c r="H136" i="1"/>
  <c r="I136" i="1"/>
  <c r="K136" i="1"/>
  <c r="L136" i="1"/>
  <c r="P136" i="1"/>
  <c r="S136" i="1"/>
  <c r="T136" i="1"/>
  <c r="U136" i="1"/>
  <c r="V136" i="1"/>
  <c r="W136" i="1"/>
  <c r="X136" i="1"/>
  <c r="Y136" i="1"/>
  <c r="Z136" i="1"/>
  <c r="AA136" i="1"/>
  <c r="AB136" i="1"/>
  <c r="AJ136" i="1"/>
  <c r="AK136" i="1"/>
  <c r="AL136" i="1"/>
  <c r="AM136" i="1"/>
  <c r="AN136" i="1"/>
  <c r="AO136" i="1"/>
  <c r="AP136" i="1"/>
  <c r="AQ136" i="1"/>
  <c r="AR136" i="1"/>
  <c r="AS136" i="1"/>
  <c r="AT136" i="1"/>
  <c r="AU136" i="1"/>
  <c r="AV136" i="1"/>
  <c r="AW136" i="1"/>
  <c r="AX136" i="1"/>
  <c r="AY136" i="1"/>
  <c r="AZ136" i="1"/>
  <c r="BA136" i="1"/>
  <c r="BB136" i="1"/>
  <c r="H137" i="1"/>
  <c r="I137" i="1"/>
  <c r="K137" i="1"/>
  <c r="L137" i="1"/>
  <c r="P137" i="1"/>
  <c r="S137" i="1"/>
  <c r="T137" i="1"/>
  <c r="U137" i="1"/>
  <c r="V137" i="1"/>
  <c r="W137" i="1"/>
  <c r="X137" i="1"/>
  <c r="Y137" i="1"/>
  <c r="Z137" i="1"/>
  <c r="AA137" i="1"/>
  <c r="AB137" i="1"/>
  <c r="AJ137" i="1"/>
  <c r="AK137" i="1"/>
  <c r="AL137" i="1"/>
  <c r="AM137" i="1"/>
  <c r="AN137" i="1"/>
  <c r="AO137" i="1"/>
  <c r="AP137" i="1"/>
  <c r="AQ137" i="1"/>
  <c r="AR137" i="1"/>
  <c r="AS137" i="1"/>
  <c r="AT137" i="1"/>
  <c r="AU137" i="1"/>
  <c r="AV137" i="1"/>
  <c r="AW137" i="1"/>
  <c r="AX137" i="1"/>
  <c r="AY137" i="1"/>
  <c r="AZ137" i="1"/>
  <c r="BA137" i="1"/>
  <c r="BB137" i="1"/>
  <c r="H138" i="1"/>
  <c r="I138" i="1"/>
  <c r="K138" i="1"/>
  <c r="L138" i="1"/>
  <c r="P138" i="1"/>
  <c r="S138" i="1"/>
  <c r="T138" i="1"/>
  <c r="U138" i="1"/>
  <c r="V138" i="1"/>
  <c r="W138" i="1"/>
  <c r="X138" i="1"/>
  <c r="Y138" i="1"/>
  <c r="Z138" i="1"/>
  <c r="AA138" i="1"/>
  <c r="AB138" i="1"/>
  <c r="AJ138" i="1"/>
  <c r="AK138" i="1"/>
  <c r="AL138" i="1"/>
  <c r="AM138" i="1"/>
  <c r="AN138" i="1"/>
  <c r="AO138" i="1"/>
  <c r="AP138" i="1"/>
  <c r="AQ138" i="1"/>
  <c r="AR138" i="1"/>
  <c r="AS138" i="1"/>
  <c r="AT138" i="1"/>
  <c r="AU138" i="1"/>
  <c r="AV138" i="1"/>
  <c r="AW138" i="1"/>
  <c r="AX138" i="1"/>
  <c r="AY138" i="1"/>
  <c r="AZ138" i="1"/>
  <c r="BA138" i="1"/>
  <c r="BB138" i="1"/>
  <c r="H139" i="1"/>
  <c r="I139" i="1"/>
  <c r="K139" i="1"/>
  <c r="L139" i="1"/>
  <c r="P139" i="1"/>
  <c r="S139" i="1"/>
  <c r="T139" i="1"/>
  <c r="U139" i="1"/>
  <c r="V139" i="1"/>
  <c r="W139" i="1"/>
  <c r="X139" i="1"/>
  <c r="Y139" i="1"/>
  <c r="Z139" i="1"/>
  <c r="AA139" i="1"/>
  <c r="AB139" i="1"/>
  <c r="AJ139" i="1"/>
  <c r="AK139" i="1"/>
  <c r="AL139" i="1"/>
  <c r="AM139" i="1"/>
  <c r="AN139" i="1"/>
  <c r="AO139" i="1"/>
  <c r="AP139" i="1"/>
  <c r="AQ139" i="1"/>
  <c r="AR139" i="1"/>
  <c r="AS139" i="1"/>
  <c r="AT139" i="1"/>
  <c r="AU139" i="1"/>
  <c r="AV139" i="1"/>
  <c r="AW139" i="1"/>
  <c r="AX139" i="1"/>
  <c r="AY139" i="1"/>
  <c r="AZ139" i="1"/>
  <c r="BA139" i="1"/>
  <c r="BB139" i="1"/>
  <c r="H140" i="1"/>
  <c r="I140" i="1"/>
  <c r="K140" i="1"/>
  <c r="L140" i="1"/>
  <c r="P140" i="1"/>
  <c r="S140" i="1"/>
  <c r="T140" i="1"/>
  <c r="U140" i="1"/>
  <c r="V140" i="1"/>
  <c r="W140" i="1"/>
  <c r="X140" i="1"/>
  <c r="Y140" i="1"/>
  <c r="Z140" i="1"/>
  <c r="AA140" i="1"/>
  <c r="AB140" i="1"/>
  <c r="AJ140" i="1"/>
  <c r="AK140" i="1"/>
  <c r="AL140" i="1"/>
  <c r="AM140" i="1"/>
  <c r="AN140" i="1"/>
  <c r="AO140" i="1"/>
  <c r="AP140" i="1"/>
  <c r="AQ140" i="1"/>
  <c r="AR140" i="1"/>
  <c r="AS140" i="1"/>
  <c r="AT140" i="1"/>
  <c r="AU140" i="1"/>
  <c r="AV140" i="1"/>
  <c r="AW140" i="1"/>
  <c r="AX140" i="1"/>
  <c r="AY140" i="1"/>
  <c r="AZ140" i="1"/>
  <c r="BA140" i="1"/>
  <c r="BB140" i="1"/>
  <c r="H141" i="1"/>
  <c r="I141" i="1"/>
  <c r="K141" i="1"/>
  <c r="L141" i="1"/>
  <c r="P141" i="1"/>
  <c r="S141" i="1"/>
  <c r="T141" i="1"/>
  <c r="U141" i="1"/>
  <c r="V141" i="1"/>
  <c r="W141" i="1"/>
  <c r="X141" i="1"/>
  <c r="Y141" i="1"/>
  <c r="Z141" i="1"/>
  <c r="AA141" i="1"/>
  <c r="AB141" i="1"/>
  <c r="AJ141" i="1"/>
  <c r="AK141" i="1"/>
  <c r="AL141" i="1"/>
  <c r="AM141" i="1"/>
  <c r="AN141" i="1"/>
  <c r="AO141" i="1"/>
  <c r="AP141" i="1"/>
  <c r="AQ141" i="1"/>
  <c r="AR141" i="1"/>
  <c r="AS141" i="1"/>
  <c r="AT141" i="1"/>
  <c r="AU141" i="1"/>
  <c r="AV141" i="1"/>
  <c r="AW141" i="1"/>
  <c r="AX141" i="1"/>
  <c r="AY141" i="1"/>
  <c r="AZ141" i="1"/>
  <c r="BA141" i="1"/>
  <c r="BB141" i="1"/>
  <c r="H142" i="1"/>
  <c r="I142" i="1"/>
  <c r="K142" i="1"/>
  <c r="L142" i="1"/>
  <c r="P142" i="1"/>
  <c r="S142" i="1"/>
  <c r="T142" i="1"/>
  <c r="U142" i="1"/>
  <c r="V142" i="1"/>
  <c r="W142" i="1"/>
  <c r="X142" i="1"/>
  <c r="Y142" i="1"/>
  <c r="Z142" i="1"/>
  <c r="AA142" i="1"/>
  <c r="AB142" i="1"/>
  <c r="AJ142" i="1"/>
  <c r="AK142" i="1"/>
  <c r="AL142" i="1"/>
  <c r="AM142" i="1"/>
  <c r="AN142" i="1"/>
  <c r="AO142" i="1"/>
  <c r="AP142" i="1"/>
  <c r="AQ142" i="1"/>
  <c r="AR142" i="1"/>
  <c r="AS142" i="1"/>
  <c r="AT142" i="1"/>
  <c r="AU142" i="1"/>
  <c r="AV142" i="1"/>
  <c r="AW142" i="1"/>
  <c r="AX142" i="1"/>
  <c r="AY142" i="1"/>
  <c r="AZ142" i="1"/>
  <c r="BA142" i="1"/>
  <c r="BB142" i="1"/>
  <c r="H143" i="1"/>
  <c r="I143" i="1"/>
  <c r="K143" i="1"/>
  <c r="L143" i="1"/>
  <c r="P143" i="1"/>
  <c r="S143" i="1"/>
  <c r="T143" i="1"/>
  <c r="U143" i="1"/>
  <c r="V143" i="1"/>
  <c r="W143" i="1"/>
  <c r="X143" i="1"/>
  <c r="Y143" i="1"/>
  <c r="Z143" i="1"/>
  <c r="AA143" i="1"/>
  <c r="AB143" i="1"/>
  <c r="AJ143" i="1"/>
  <c r="AK143" i="1"/>
  <c r="AL143" i="1"/>
  <c r="AM143" i="1"/>
  <c r="AN143" i="1"/>
  <c r="AO143" i="1"/>
  <c r="AP143" i="1"/>
  <c r="AQ143" i="1"/>
  <c r="AR143" i="1"/>
  <c r="AS143" i="1"/>
  <c r="AT143" i="1"/>
  <c r="AU143" i="1"/>
  <c r="AV143" i="1"/>
  <c r="AW143" i="1"/>
  <c r="AX143" i="1"/>
  <c r="AY143" i="1"/>
  <c r="AZ143" i="1"/>
  <c r="BA143" i="1"/>
  <c r="BB143" i="1"/>
  <c r="H144" i="1"/>
  <c r="I144" i="1"/>
  <c r="K144" i="1"/>
  <c r="L144" i="1"/>
  <c r="P144" i="1"/>
  <c r="S144" i="1"/>
  <c r="T144" i="1"/>
  <c r="U144" i="1"/>
  <c r="V144" i="1"/>
  <c r="W144" i="1"/>
  <c r="X144" i="1"/>
  <c r="Y144" i="1"/>
  <c r="Z144" i="1"/>
  <c r="AA144" i="1"/>
  <c r="AB144" i="1"/>
  <c r="AJ144" i="1"/>
  <c r="AK144" i="1"/>
  <c r="AL144" i="1"/>
  <c r="AM144" i="1"/>
  <c r="AN144" i="1"/>
  <c r="AO144" i="1"/>
  <c r="AP144" i="1"/>
  <c r="AQ144" i="1"/>
  <c r="AR144" i="1"/>
  <c r="AS144" i="1"/>
  <c r="AT144" i="1"/>
  <c r="AU144" i="1"/>
  <c r="AV144" i="1"/>
  <c r="AW144" i="1"/>
  <c r="AX144" i="1"/>
  <c r="AY144" i="1"/>
  <c r="AZ144" i="1"/>
  <c r="BA144" i="1"/>
  <c r="BB144" i="1"/>
  <c r="H145" i="1"/>
  <c r="I145" i="1"/>
  <c r="K145" i="1"/>
  <c r="L145" i="1"/>
  <c r="P145" i="1"/>
  <c r="S145" i="1"/>
  <c r="T145" i="1"/>
  <c r="U145" i="1"/>
  <c r="V145" i="1"/>
  <c r="W145" i="1"/>
  <c r="X145" i="1"/>
  <c r="Y145" i="1"/>
  <c r="Z145" i="1"/>
  <c r="AA145" i="1"/>
  <c r="AB145" i="1"/>
  <c r="AJ145" i="1"/>
  <c r="AK145" i="1"/>
  <c r="AL145" i="1"/>
  <c r="AM145" i="1"/>
  <c r="AN145" i="1"/>
  <c r="AO145" i="1"/>
  <c r="AP145" i="1"/>
  <c r="AQ145" i="1"/>
  <c r="AR145" i="1"/>
  <c r="AS145" i="1"/>
  <c r="AT145" i="1"/>
  <c r="AU145" i="1"/>
  <c r="AV145" i="1"/>
  <c r="AW145" i="1"/>
  <c r="AX145" i="1"/>
  <c r="AY145" i="1"/>
  <c r="AZ145" i="1"/>
  <c r="BA145" i="1"/>
  <c r="BB145" i="1"/>
  <c r="H146" i="1"/>
  <c r="I146" i="1"/>
  <c r="K146" i="1"/>
  <c r="L146" i="1"/>
  <c r="P146" i="1"/>
  <c r="S146" i="1"/>
  <c r="T146" i="1"/>
  <c r="U146" i="1"/>
  <c r="V146" i="1"/>
  <c r="W146" i="1"/>
  <c r="X146" i="1"/>
  <c r="Y146" i="1"/>
  <c r="Z146" i="1"/>
  <c r="AA146" i="1"/>
  <c r="AB146" i="1"/>
  <c r="AJ146" i="1"/>
  <c r="AK146" i="1"/>
  <c r="AL146" i="1"/>
  <c r="AM146" i="1"/>
  <c r="AN146" i="1"/>
  <c r="AO146" i="1"/>
  <c r="AP146" i="1"/>
  <c r="AQ146" i="1"/>
  <c r="AR146" i="1"/>
  <c r="AS146" i="1"/>
  <c r="AT146" i="1"/>
  <c r="AU146" i="1"/>
  <c r="AV146" i="1"/>
  <c r="AW146" i="1"/>
  <c r="AX146" i="1"/>
  <c r="AY146" i="1"/>
  <c r="AZ146" i="1"/>
  <c r="BA146" i="1"/>
  <c r="BB146" i="1"/>
  <c r="H147" i="1"/>
  <c r="I147" i="1"/>
  <c r="K147" i="1"/>
  <c r="L147" i="1"/>
  <c r="P147" i="1"/>
  <c r="S147" i="1"/>
  <c r="T147" i="1"/>
  <c r="U147" i="1"/>
  <c r="V147" i="1"/>
  <c r="W147" i="1"/>
  <c r="X147" i="1"/>
  <c r="Y147" i="1"/>
  <c r="Z147" i="1"/>
  <c r="AA147" i="1"/>
  <c r="AB147" i="1"/>
  <c r="AJ147" i="1"/>
  <c r="AK147" i="1"/>
  <c r="AL147" i="1"/>
  <c r="AM147" i="1"/>
  <c r="AN147" i="1"/>
  <c r="AO147" i="1"/>
  <c r="AP147" i="1"/>
  <c r="AQ147" i="1"/>
  <c r="AR147" i="1"/>
  <c r="AS147" i="1"/>
  <c r="AT147" i="1"/>
  <c r="AU147" i="1"/>
  <c r="AV147" i="1"/>
  <c r="AW147" i="1"/>
  <c r="AX147" i="1"/>
  <c r="AY147" i="1"/>
  <c r="AZ147" i="1"/>
  <c r="BA147" i="1"/>
  <c r="BB147" i="1"/>
  <c r="H148" i="1"/>
  <c r="I148" i="1"/>
  <c r="K148" i="1"/>
  <c r="L148" i="1"/>
  <c r="P148" i="1"/>
  <c r="S148" i="1"/>
  <c r="T148" i="1"/>
  <c r="U148" i="1"/>
  <c r="V148" i="1"/>
  <c r="W148" i="1"/>
  <c r="X148" i="1"/>
  <c r="Y148" i="1"/>
  <c r="Z148" i="1"/>
  <c r="AA148" i="1"/>
  <c r="AB148" i="1"/>
  <c r="AJ148" i="1"/>
  <c r="AK148" i="1"/>
  <c r="AL148" i="1"/>
  <c r="AM148" i="1"/>
  <c r="AN148" i="1"/>
  <c r="AO148" i="1"/>
  <c r="AP148" i="1"/>
  <c r="AQ148" i="1"/>
  <c r="AR148" i="1"/>
  <c r="AS148" i="1"/>
  <c r="AT148" i="1"/>
  <c r="AU148" i="1"/>
  <c r="AV148" i="1"/>
  <c r="AW148" i="1"/>
  <c r="AX148" i="1"/>
  <c r="AY148" i="1"/>
  <c r="AZ148" i="1"/>
  <c r="BA148" i="1"/>
  <c r="BB148" i="1"/>
  <c r="H149" i="1"/>
  <c r="I149" i="1"/>
  <c r="K149" i="1"/>
  <c r="L149" i="1"/>
  <c r="P149" i="1"/>
  <c r="S149" i="1"/>
  <c r="T149" i="1"/>
  <c r="U149" i="1"/>
  <c r="V149" i="1"/>
  <c r="W149" i="1"/>
  <c r="X149" i="1"/>
  <c r="Y149" i="1"/>
  <c r="Z149" i="1"/>
  <c r="AA149" i="1"/>
  <c r="AB149" i="1"/>
  <c r="AJ149" i="1"/>
  <c r="AK149" i="1"/>
  <c r="AL149" i="1"/>
  <c r="AM149" i="1"/>
  <c r="AN149" i="1"/>
  <c r="AO149" i="1"/>
  <c r="AP149" i="1"/>
  <c r="AQ149" i="1"/>
  <c r="AR149" i="1"/>
  <c r="AS149" i="1"/>
  <c r="AT149" i="1"/>
  <c r="AU149" i="1"/>
  <c r="AV149" i="1"/>
  <c r="AW149" i="1"/>
  <c r="AX149" i="1"/>
  <c r="AY149" i="1"/>
  <c r="AZ149" i="1"/>
  <c r="BA149" i="1"/>
  <c r="BB149" i="1"/>
  <c r="H150" i="1"/>
  <c r="I150" i="1"/>
  <c r="K150" i="1"/>
  <c r="L150" i="1"/>
  <c r="P150" i="1"/>
  <c r="S150" i="1"/>
  <c r="T150" i="1"/>
  <c r="U150" i="1"/>
  <c r="V150" i="1"/>
  <c r="W150" i="1"/>
  <c r="X150" i="1"/>
  <c r="Y150" i="1"/>
  <c r="Z150" i="1"/>
  <c r="AA150" i="1"/>
  <c r="AB150" i="1"/>
  <c r="AJ150" i="1"/>
  <c r="AK150" i="1"/>
  <c r="AL150" i="1"/>
  <c r="AM150" i="1"/>
  <c r="AN150" i="1"/>
  <c r="AO150" i="1"/>
  <c r="AP150" i="1"/>
  <c r="AQ150" i="1"/>
  <c r="AR150" i="1"/>
  <c r="AS150" i="1"/>
  <c r="AT150" i="1"/>
  <c r="AU150" i="1"/>
  <c r="AV150" i="1"/>
  <c r="AW150" i="1"/>
  <c r="AX150" i="1"/>
  <c r="AY150" i="1"/>
  <c r="AZ150" i="1"/>
  <c r="BA150" i="1"/>
  <c r="BB150" i="1"/>
  <c r="Q7" i="4"/>
  <c r="C10" i="4"/>
  <c r="R10" i="4"/>
  <c r="M12" i="4"/>
  <c r="E13" i="4"/>
  <c r="G18" i="4"/>
  <c r="M18" i="4" s="1"/>
  <c r="L9" i="1"/>
  <c r="AP12" i="1"/>
  <c r="V12" i="1"/>
  <c r="W12" i="1"/>
  <c r="AR12" i="1"/>
  <c r="AW12" i="1"/>
  <c r="AS12" i="1"/>
  <c r="AY12" i="1"/>
  <c r="AU12" i="1"/>
  <c r="AZ12" i="1"/>
  <c r="AQ12" i="1"/>
  <c r="AV12" i="1"/>
  <c r="BA12" i="1"/>
  <c r="BB12" i="1"/>
  <c r="AX12" i="1"/>
  <c r="AT12" i="1"/>
  <c r="X12" i="1"/>
  <c r="Y12" i="1"/>
  <c r="Z12" i="1"/>
  <c r="AJ12" i="1"/>
  <c r="AL12" i="1"/>
  <c r="AO12" i="1"/>
  <c r="AN12" i="1"/>
  <c r="AK12" i="1"/>
  <c r="AQ8" i="1"/>
  <c r="V8" i="1" s="1"/>
  <c r="W8" i="1" s="1"/>
  <c r="X8" i="1" s="1"/>
  <c r="AW8" i="1"/>
  <c r="AP8" i="1"/>
  <c r="AS8" i="1"/>
  <c r="BB8" i="1"/>
  <c r="BA8" i="1"/>
  <c r="AX8" i="1"/>
  <c r="AR8" i="1"/>
  <c r="AV8" i="1"/>
  <c r="AY8" i="1"/>
  <c r="AT8" i="1"/>
  <c r="AU8" i="1"/>
  <c r="AZ8" i="1"/>
  <c r="AY11" i="1" l="1"/>
  <c r="AV11" i="1"/>
  <c r="AS11" i="1"/>
  <c r="BB11" i="1"/>
  <c r="AZ11" i="1"/>
  <c r="AB11" i="1"/>
  <c r="AX11" i="1"/>
  <c r="L11" i="1"/>
  <c r="AP11" i="1"/>
  <c r="AT11" i="1"/>
  <c r="BA11" i="1"/>
  <c r="AW11" i="1"/>
  <c r="AR11" i="1"/>
  <c r="AU11" i="1"/>
  <c r="W11" i="1"/>
  <c r="X11" i="1" s="1"/>
  <c r="L10" i="1"/>
  <c r="AQ10" i="1"/>
  <c r="V10" i="1" s="1"/>
  <c r="AU10" i="1"/>
  <c r="AY10" i="1"/>
  <c r="AR10" i="1"/>
  <c r="AV10" i="1"/>
  <c r="AZ10" i="1"/>
  <c r="AS10" i="1"/>
  <c r="AW10" i="1"/>
  <c r="BA10" i="1"/>
  <c r="AP10" i="1"/>
  <c r="AT10" i="1"/>
  <c r="AX10" i="1"/>
  <c r="BB10" i="1"/>
  <c r="AZ9" i="1"/>
  <c r="AT9" i="1"/>
  <c r="BB9" i="1"/>
  <c r="AV9" i="1"/>
  <c r="AS9" i="1"/>
  <c r="AY9" i="1"/>
  <c r="AQ9" i="1"/>
  <c r="V9" i="1" s="1"/>
  <c r="AP9" i="1"/>
  <c r="AR9" i="1"/>
  <c r="AX9" i="1"/>
  <c r="BA9" i="1"/>
  <c r="AW9" i="1"/>
  <c r="AU9" i="1"/>
  <c r="AB9" i="1"/>
  <c r="AB8" i="1"/>
  <c r="AA8" i="1"/>
  <c r="L8" i="1"/>
  <c r="Z8" i="1"/>
  <c r="Y8" i="1"/>
  <c r="C17" i="4"/>
  <c r="C16" i="4"/>
  <c r="Y11" i="1" l="1"/>
  <c r="Z11" i="1"/>
  <c r="AC11" i="1" s="1"/>
  <c r="W10" i="1"/>
  <c r="X10" i="1" s="1"/>
  <c r="W9" i="1"/>
  <c r="X9" i="1" s="1"/>
  <c r="AC8" i="1"/>
  <c r="AN8" i="1"/>
  <c r="AK8" i="1" s="1"/>
  <c r="AJ8" i="1"/>
  <c r="AL8" i="1" s="1"/>
  <c r="C18" i="4"/>
  <c r="AJ11" i="1" l="1"/>
  <c r="AL11" i="1" s="1"/>
  <c r="AN11" i="1"/>
  <c r="AK11" i="1" s="1"/>
  <c r="Y9" i="1"/>
  <c r="Y10" i="1" s="1"/>
  <c r="Z9" i="1"/>
  <c r="AC9" i="1" s="1"/>
  <c r="Z10" i="1" s="1"/>
  <c r="AC10" i="1" s="1"/>
  <c r="AF8" i="1"/>
  <c r="AM8" i="1" s="1"/>
  <c r="AG8" i="1" s="1"/>
  <c r="AF11" i="1" l="1"/>
  <c r="AM11" i="1" s="1"/>
  <c r="AG11" i="1" s="1"/>
  <c r="AJ10" i="1"/>
  <c r="AL10" i="1" s="1"/>
  <c r="AN10" i="1"/>
  <c r="AK10" i="1" s="1"/>
  <c r="AN9" i="1"/>
  <c r="AK9" i="1" s="1"/>
  <c r="AJ9" i="1"/>
  <c r="AL9" i="1" s="1"/>
  <c r="AO8" i="1"/>
  <c r="AO11" i="1" l="1"/>
  <c r="AF10" i="1"/>
  <c r="AM10" i="1" s="1"/>
  <c r="AG10" i="1" s="1"/>
  <c r="AF9" i="1"/>
  <c r="AM9" i="1" s="1"/>
  <c r="AG9" i="1" s="1"/>
  <c r="AO10" i="1" l="1"/>
  <c r="AO9" i="1"/>
</calcChain>
</file>

<file path=xl/comments1.xml><?xml version="1.0" encoding="utf-8"?>
<comments xmlns="http://schemas.openxmlformats.org/spreadsheetml/2006/main">
  <authors>
    <author>victoroliveira</author>
  </authors>
  <commentList>
    <comment ref="C11" authorId="0">
      <text>
        <r>
          <rPr>
            <b/>
            <sz val="9"/>
            <color indexed="81"/>
            <rFont val="Tahoma"/>
            <family val="2"/>
          </rPr>
          <t>Tipo de pavimentação</t>
        </r>
      </text>
    </comment>
    <comment ref="C13" authorId="0">
      <text>
        <r>
          <rPr>
            <b/>
            <sz val="9"/>
            <color indexed="81"/>
            <rFont val="Tahoma"/>
            <family val="2"/>
          </rPr>
          <t>Inclinação do pavimento.
Padrão 2%.</t>
        </r>
      </text>
    </comment>
  </commentList>
</comments>
</file>

<file path=xl/comments2.xml><?xml version="1.0" encoding="utf-8"?>
<comments xmlns="http://schemas.openxmlformats.org/spreadsheetml/2006/main">
  <authors>
    <author>victoroliveira</author>
  </authors>
  <commentList>
    <comment ref="J6" authorId="0">
      <text>
        <r>
          <rPr>
            <b/>
            <sz val="9"/>
            <color indexed="81"/>
            <rFont val="Tahoma"/>
            <family val="2"/>
          </rPr>
          <t>Extensão do trecho</t>
        </r>
      </text>
    </comment>
    <comment ref="K6" authorId="0">
      <text>
        <r>
          <rPr>
            <b/>
            <sz val="9"/>
            <color indexed="81"/>
            <rFont val="Tahoma"/>
            <family val="2"/>
          </rPr>
          <t>Fórmula: declividade entre o ponto a montante e a justante no trecho. Não deverá ser inferior a 0,3%.</t>
        </r>
      </text>
    </comment>
    <comment ref="L6" authorId="0">
      <text>
        <r>
          <rPr>
            <b/>
            <sz val="9"/>
            <color indexed="81"/>
            <rFont val="Tahoma"/>
            <family val="2"/>
          </rPr>
          <t>Fórmula: declividade entre o ponto a montante e a justante no trecho. Não deverá ser inferior a 0,3%.</t>
        </r>
      </text>
    </comment>
    <comment ref="M6" authorId="0">
      <text>
        <r>
          <rPr>
            <b/>
            <sz val="9"/>
            <color indexed="81"/>
            <rFont val="Tahoma"/>
            <family val="2"/>
          </rPr>
          <t>Cota máxima da bacia a ser estudada</t>
        </r>
      </text>
    </comment>
    <comment ref="N6" authorId="0">
      <text>
        <r>
          <rPr>
            <b/>
            <sz val="9"/>
            <color indexed="81"/>
            <rFont val="Tahoma"/>
            <family val="2"/>
          </rPr>
          <t>Cota do local de descarga do empreendimento</t>
        </r>
      </text>
    </comment>
    <comment ref="O6" authorId="0">
      <text>
        <r>
          <rPr>
            <b/>
            <sz val="9"/>
            <color indexed="81"/>
            <rFont val="Tahoma"/>
            <family val="2"/>
          </rPr>
          <t>Distância entre a cota máxima da bacia e o local de descarga do empreendimento</t>
        </r>
      </text>
    </comment>
    <comment ref="P6" authorId="0">
      <text>
        <r>
          <rPr>
            <b/>
            <sz val="9"/>
            <color indexed="81"/>
            <rFont val="Tahoma"/>
            <family val="2"/>
          </rPr>
          <t>Fórmula: desnível entre a cota máxima da bacia e o local de descarga do empreendimento</t>
        </r>
      </text>
    </comment>
    <comment ref="Y6" authorId="0">
      <text>
        <r>
          <rPr>
            <b/>
            <sz val="9"/>
            <color indexed="81"/>
            <rFont val="Tahoma"/>
            <family val="2"/>
          </rPr>
          <t>Fórmula: somatório dos deflúvios parciais na forma cumulativa</t>
        </r>
      </text>
    </comment>
    <comment ref="Z6" authorId="0">
      <text>
        <r>
          <rPr>
            <b/>
            <sz val="9"/>
            <color indexed="81"/>
            <rFont val="Tahoma"/>
            <family val="2"/>
          </rPr>
          <t>Deflúvio acumulado na sarjeta. Caso o trecho anterior não possua bola de lobo, ela se acumula.</t>
        </r>
      </text>
    </comment>
    <comment ref="AA6" authorId="0">
      <text>
        <r>
          <rPr>
            <b/>
            <sz val="9"/>
            <color indexed="81"/>
            <rFont val="Tahoma"/>
            <family val="2"/>
          </rPr>
          <t>Capacidade de condução na sarjeta</t>
        </r>
      </text>
    </comment>
    <comment ref="AB6" authorId="0">
      <text>
        <r>
          <rPr>
            <b/>
            <sz val="9"/>
            <color indexed="81"/>
            <rFont val="Tahoma"/>
            <family val="2"/>
          </rPr>
          <t>Velocidade na sarjeta. Não deve ser superior a 3m/s.</t>
        </r>
      </text>
    </comment>
    <comment ref="AC6" authorId="0">
      <text>
        <r>
          <rPr>
            <b/>
            <sz val="9"/>
            <color indexed="81"/>
            <rFont val="Tahoma"/>
            <family val="2"/>
          </rPr>
          <t>Caso o deflúvio na sarjeta seja maior do que a capacidade da mesma, será recomendado utilizar boca de lobo.</t>
        </r>
      </text>
    </comment>
    <comment ref="AD6" authorId="0">
      <text>
        <r>
          <rPr>
            <b/>
            <sz val="9"/>
            <color indexed="81"/>
            <rFont val="Tahoma"/>
            <family val="2"/>
          </rPr>
          <t>Quantidade de tubos no segmento.</t>
        </r>
      </text>
    </comment>
    <comment ref="AE6" authorId="0">
      <text>
        <r>
          <rPr>
            <b/>
            <sz val="9"/>
            <color indexed="81"/>
            <rFont val="Tahoma"/>
            <family val="2"/>
          </rPr>
          <t>Diâmetro da tubulação - utilizar diâmetros comerciais.</t>
        </r>
      </text>
    </comment>
    <comment ref="AF6" authorId="0">
      <text>
        <r>
          <rPr>
            <b/>
            <sz val="9"/>
            <color indexed="81"/>
            <rFont val="Tahoma"/>
            <family val="2"/>
          </rPr>
          <t>Fórmula: A altura d'água calculada não deverá ser superior a 85 % do diâmetro do coletor e recomenda-se estar maior do que 20%.</t>
        </r>
      </text>
    </comment>
    <comment ref="AG6" authorId="0">
      <text>
        <r>
          <rPr>
            <b/>
            <sz val="9"/>
            <color indexed="81"/>
            <rFont val="Tahoma"/>
            <family val="2"/>
          </rPr>
          <t>Fórmula: determinada pela equação da continuidade. Não deverá ser superior a 5 m/s e recomenda-se ser superior a 1,0 m/s.</t>
        </r>
      </text>
    </comment>
    <comment ref="A7" authorId="0">
      <text>
        <r>
          <rPr>
            <b/>
            <sz val="9"/>
            <color indexed="81"/>
            <rFont val="Tahoma"/>
            <family val="2"/>
          </rPr>
          <t>Rua em que se encontra o trecho</t>
        </r>
      </text>
    </comment>
    <comment ref="B7" authorId="0">
      <text>
        <r>
          <rPr>
            <b/>
            <sz val="9"/>
            <color indexed="81"/>
            <rFont val="Tahoma"/>
            <family val="2"/>
          </rPr>
          <t>PV a montante</t>
        </r>
      </text>
    </comment>
    <comment ref="C7" authorId="0">
      <text>
        <r>
          <rPr>
            <b/>
            <sz val="9"/>
            <color indexed="81"/>
            <rFont val="Tahoma"/>
            <family val="2"/>
          </rPr>
          <t>PV a jusante</t>
        </r>
      </text>
    </comment>
    <comment ref="D7" authorId="0">
      <text>
        <r>
          <rPr>
            <b/>
            <sz val="9"/>
            <color indexed="81"/>
            <rFont val="Tahoma"/>
            <family val="2"/>
          </rPr>
          <t>Cota do terreno a montante</t>
        </r>
      </text>
    </comment>
    <comment ref="E7" authorId="0">
      <text>
        <r>
          <rPr>
            <b/>
            <sz val="9"/>
            <color indexed="81"/>
            <rFont val="Tahoma"/>
            <family val="2"/>
          </rPr>
          <t>Cota do terreno a montante</t>
        </r>
      </text>
    </comment>
    <comment ref="F7" authorId="0">
      <text>
        <r>
          <rPr>
            <b/>
            <sz val="9"/>
            <color indexed="81"/>
            <rFont val="Tahoma"/>
            <family val="2"/>
          </rPr>
          <t>Distância vertical entre o greide no PV a montante e o prolongamento parte externa do coletor. Não deve ser inferior a 0,60 metros.</t>
        </r>
      </text>
    </comment>
    <comment ref="G7" authorId="0">
      <text>
        <r>
          <rPr>
            <b/>
            <sz val="9"/>
            <color indexed="81"/>
            <rFont val="Tahoma"/>
            <family val="2"/>
          </rPr>
          <t>Distância vertical entre o greide no PV a jusante e o prolongamento parte externa do coletor. Não deve ser inferior a 0,60 metros.</t>
        </r>
      </text>
    </comment>
    <comment ref="H7" authorId="0">
      <text>
        <r>
          <rPr>
            <b/>
            <sz val="9"/>
            <color indexed="81"/>
            <rFont val="Tahoma"/>
            <family val="2"/>
          </rPr>
          <t>Fórmula: Cota do terreno (mon) - Recobrimento (mon) - Diâmetro do tubo</t>
        </r>
      </text>
    </comment>
    <comment ref="I7" authorId="0">
      <text>
        <r>
          <rPr>
            <b/>
            <sz val="9"/>
            <color indexed="81"/>
            <rFont val="Tahoma"/>
            <family val="2"/>
          </rPr>
          <t>Fórmula: Cota do terreno (jus) - Recobrimento (jus) - Diâmetro do tubo</t>
        </r>
      </text>
    </comment>
    <comment ref="Q7" authorId="0">
      <text>
        <r>
          <rPr>
            <b/>
            <sz val="9"/>
            <color indexed="81"/>
            <rFont val="Tahoma"/>
            <family val="2"/>
          </rPr>
          <t>Área de cada sub-bacia de contribuição</t>
        </r>
      </text>
    </comment>
    <comment ref="R7" authorId="0">
      <text>
        <r>
          <rPr>
            <b/>
            <sz val="9"/>
            <color indexed="81"/>
            <rFont val="Tahoma"/>
            <family val="2"/>
          </rPr>
          <t>Coeficiente de impermeabilidade:
r = 0,80 : para áreas muito urbanizadas - central;
r = 0,60 : para zona residencial urbana;
r = 0,40 : para zona suburbana;
r = 0,25 : para zona rural.</t>
        </r>
      </text>
    </comment>
    <comment ref="S7" authorId="0">
      <text>
        <r>
          <rPr>
            <b/>
            <sz val="9"/>
            <color indexed="81"/>
            <rFont val="Tahoma"/>
            <family val="2"/>
          </rPr>
          <t xml:space="preserve">Fórmula: Somatório das áreas em análise. </t>
        </r>
      </text>
    </comment>
    <comment ref="T7" authorId="0">
      <text>
        <r>
          <rPr>
            <b/>
            <sz val="9"/>
            <color indexed="81"/>
            <rFont val="Tahoma"/>
            <family val="2"/>
          </rPr>
          <t>Fórmula: Coeficiente de distribuição das chuvas - ábaco de Caquot, baseado nos
estudos de Burkli-Ziegler</t>
        </r>
      </text>
    </comment>
    <comment ref="U7" authorId="0">
      <text>
        <r>
          <rPr>
            <b/>
            <sz val="9"/>
            <color indexed="81"/>
            <rFont val="Tahoma"/>
            <family val="2"/>
          </rPr>
          <t>Fórmula: tempo requerido pelo escoamento superficial para fluir sobre a superfície até o ponto de interesse. Utilizado mínimo de 10min ou fórmula empírica de Kirpich.</t>
        </r>
      </text>
    </comment>
    <comment ref="V7" authorId="0">
      <text>
        <r>
          <rPr>
            <b/>
            <sz val="9"/>
            <color indexed="81"/>
            <rFont val="Tahoma"/>
            <family val="2"/>
          </rPr>
          <t>Fórmula: precipitação que ocorre em uma unidade de tempo. Foi assumido para cada região uma fórmula distinta (Ref: “Chuvas intensas para obras de Drenagem no estado do Paraná” de Roberto Fendrich)</t>
        </r>
      </text>
    </comment>
    <comment ref="W7" authorId="0">
      <text>
        <r>
          <rPr>
            <b/>
            <sz val="9"/>
            <color indexed="81"/>
            <rFont val="Tahoma"/>
            <family val="2"/>
          </rPr>
          <t>Fórmula: baseado no critério de Fantoli, é um fator relacionado ao coeficiente de impermeabilidade, intensidade pluviométrica e tempo de concentração.</t>
        </r>
      </text>
    </comment>
    <comment ref="X7" authorId="0">
      <text>
        <r>
          <rPr>
            <b/>
            <sz val="9"/>
            <color indexed="81"/>
            <rFont val="Tahoma"/>
            <family val="2"/>
          </rPr>
          <t>Fórmula: obtido através do método racional</t>
        </r>
      </text>
    </comment>
  </commentList>
</comments>
</file>

<file path=xl/sharedStrings.xml><?xml version="1.0" encoding="utf-8"?>
<sst xmlns="http://schemas.openxmlformats.org/spreadsheetml/2006/main" count="910" uniqueCount="498">
  <si>
    <t>Defluvio a escoar para jusante</t>
  </si>
  <si>
    <t>Bacia local</t>
  </si>
  <si>
    <t>Contribuição parcial</t>
  </si>
  <si>
    <t>Galeria de jusante</t>
  </si>
  <si>
    <t>Talvegue</t>
  </si>
  <si>
    <t>ERAP</t>
  </si>
  <si>
    <t>ERCM</t>
  </si>
  <si>
    <t>ERCA</t>
  </si>
  <si>
    <t>ERCP</t>
  </si>
  <si>
    <t>ERCT</t>
  </si>
  <si>
    <t>ERFB</t>
  </si>
  <si>
    <t>ERGP</t>
  </si>
  <si>
    <t>ERLD</t>
  </si>
  <si>
    <t>ERMA</t>
  </si>
  <si>
    <t>ERPV</t>
  </si>
  <si>
    <t>ERPG</t>
  </si>
  <si>
    <t>ERUM</t>
  </si>
  <si>
    <t>ERUV</t>
  </si>
  <si>
    <t>C3</t>
  </si>
  <si>
    <t>C2</t>
  </si>
  <si>
    <t>C1</t>
  </si>
  <si>
    <t>K</t>
  </si>
  <si>
    <t>y/d</t>
  </si>
  <si>
    <t>M</t>
  </si>
  <si>
    <t>Dados numéricos para o cálculo do escoamento 
em galerias circulares parcialmente cheias</t>
  </si>
  <si>
    <t>Cidade</t>
  </si>
  <si>
    <t>Abatiá</t>
  </si>
  <si>
    <t>Adrianópolis</t>
  </si>
  <si>
    <t>Agudos do Sul</t>
  </si>
  <si>
    <t>Almirante Tamandaré</t>
  </si>
  <si>
    <t>Altamira do Paraná</t>
  </si>
  <si>
    <t>Alto Paraíso</t>
  </si>
  <si>
    <t>Alto Paraná</t>
  </si>
  <si>
    <t>Alto Piquiri</t>
  </si>
  <si>
    <t>Altônia</t>
  </si>
  <si>
    <t>Alvorada do Sul</t>
  </si>
  <si>
    <t>Amaporã</t>
  </si>
  <si>
    <t>Ampére</t>
  </si>
  <si>
    <t>Anahy</t>
  </si>
  <si>
    <t>Andirá</t>
  </si>
  <si>
    <t>Ângulo</t>
  </si>
  <si>
    <t>Antonina</t>
  </si>
  <si>
    <t>Antonio Olinto</t>
  </si>
  <si>
    <t>Apucarana</t>
  </si>
  <si>
    <t>Arapongas</t>
  </si>
  <si>
    <t>Arapoti</t>
  </si>
  <si>
    <t>Arapuã</t>
  </si>
  <si>
    <t>Araruna</t>
  </si>
  <si>
    <t>Araucária</t>
  </si>
  <si>
    <t>Ariranha do Ivaí</t>
  </si>
  <si>
    <t>Assaí</t>
  </si>
  <si>
    <t>Assis Chateaubriand</t>
  </si>
  <si>
    <t>Astorga</t>
  </si>
  <si>
    <t>Atalaia</t>
  </si>
  <si>
    <t>Balsa Nova</t>
  </si>
  <si>
    <t>Bandeirantes</t>
  </si>
  <si>
    <t>Barbosa Ferraz</t>
  </si>
  <si>
    <t>Barra do Jacaré</t>
  </si>
  <si>
    <t>Barracão</t>
  </si>
  <si>
    <t>Bela Vista da Caroba</t>
  </si>
  <si>
    <t>Bela Vista do Paraíso</t>
  </si>
  <si>
    <t>Bituruna</t>
  </si>
  <si>
    <t>Boa Esperança</t>
  </si>
  <si>
    <t>Boa Esperança do Iguaçu</t>
  </si>
  <si>
    <t>Boa Ventura De São Roque</t>
  </si>
  <si>
    <t>Boa Vista da Aparecida</t>
  </si>
  <si>
    <t>Bocaiúva do Sul</t>
  </si>
  <si>
    <t>Bom Jesus do Sul</t>
  </si>
  <si>
    <t>Bom Sucesso</t>
  </si>
  <si>
    <t>Bom Sucesso do Sul</t>
  </si>
  <si>
    <t>Borrazópolis</t>
  </si>
  <si>
    <t>Braganey</t>
  </si>
  <si>
    <t>Brasilândia do Sul</t>
  </si>
  <si>
    <t>Cafeara</t>
  </si>
  <si>
    <t>Cafelândia</t>
  </si>
  <si>
    <t>Cafezal do Sul</t>
  </si>
  <si>
    <t>Califórnia</t>
  </si>
  <si>
    <t>Cambará</t>
  </si>
  <si>
    <t>Cambé</t>
  </si>
  <si>
    <t>Cambira</t>
  </si>
  <si>
    <t>Campina da Lagoa</t>
  </si>
  <si>
    <t>Campina do Simão</t>
  </si>
  <si>
    <t>Campina Grande do Sul</t>
  </si>
  <si>
    <t>Campo Bonito</t>
  </si>
  <si>
    <t>Campo do Tenente</t>
  </si>
  <si>
    <t>Campo Largo</t>
  </si>
  <si>
    <t>Campo Magro</t>
  </si>
  <si>
    <t>Campo Mourão</t>
  </si>
  <si>
    <t>Cândido de Abreu</t>
  </si>
  <si>
    <t>Candói</t>
  </si>
  <si>
    <t>Cantagalo</t>
  </si>
  <si>
    <t>Capanema</t>
  </si>
  <si>
    <t>Capitão Leônidas Marques</t>
  </si>
  <si>
    <t>Carambeí</t>
  </si>
  <si>
    <t>Carlópolis</t>
  </si>
  <si>
    <t>Cascavel</t>
  </si>
  <si>
    <t>Castro</t>
  </si>
  <si>
    <t>Catanduvas</t>
  </si>
  <si>
    <t>Centenário do Sul</t>
  </si>
  <si>
    <t>Cerro Azul</t>
  </si>
  <si>
    <t>Céu Azul</t>
  </si>
  <si>
    <t>Chopinzinho</t>
  </si>
  <si>
    <t>Cianorte</t>
  </si>
  <si>
    <t>Cidade Gaúcha</t>
  </si>
  <si>
    <t>Clevelândia</t>
  </si>
  <si>
    <t>Colombo</t>
  </si>
  <si>
    <t>Colorado</t>
  </si>
  <si>
    <t>Congonhinhas</t>
  </si>
  <si>
    <t>Conselheiro Mairinck</t>
  </si>
  <si>
    <t>Contenda</t>
  </si>
  <si>
    <t>Corbélia</t>
  </si>
  <si>
    <t>Cornélio Procópio</t>
  </si>
  <si>
    <t>Coronel Domingos Soares</t>
  </si>
  <si>
    <t>Coronel Vivida</t>
  </si>
  <si>
    <t>Corumbataí do Sul</t>
  </si>
  <si>
    <t>Cruz Machado</t>
  </si>
  <si>
    <t>Cruzeiro do Iguaçu</t>
  </si>
  <si>
    <t>Cruzeiro do Oeste</t>
  </si>
  <si>
    <t>Cruzeiro Do Sul</t>
  </si>
  <si>
    <t>Cruzmaltina</t>
  </si>
  <si>
    <t>Curitiba</t>
  </si>
  <si>
    <t>Curiúva</t>
  </si>
  <si>
    <t>Diamante do Norte</t>
  </si>
  <si>
    <t>Diamante do Oeste</t>
  </si>
  <si>
    <t>Diamante do Sul</t>
  </si>
  <si>
    <t>Dois Vizinhos</t>
  </si>
  <si>
    <t>Douradina</t>
  </si>
  <si>
    <t>Doutor Camargo</t>
  </si>
  <si>
    <t>Doutor Ulysses</t>
  </si>
  <si>
    <t>Enéas Marques</t>
  </si>
  <si>
    <t>Engenheiro Beltrão</t>
  </si>
  <si>
    <t>Entre Rios do Oeste</t>
  </si>
  <si>
    <t>Esperança Nova</t>
  </si>
  <si>
    <t>Espigão Alto do Iguaçu</t>
  </si>
  <si>
    <t>Farol</t>
  </si>
  <si>
    <t>Faxinal</t>
  </si>
  <si>
    <t>Fazenda Rio Grande</t>
  </si>
  <si>
    <t>Fênix</t>
  </si>
  <si>
    <t>Fernandes Pinheiro</t>
  </si>
  <si>
    <t>Figueira</t>
  </si>
  <si>
    <t>Flor da Serra do Sul</t>
  </si>
  <si>
    <t>Floraí</t>
  </si>
  <si>
    <t>Floresta</t>
  </si>
  <si>
    <t>Florestópolis</t>
  </si>
  <si>
    <t>Flórida</t>
  </si>
  <si>
    <t>Formosa do Oeste</t>
  </si>
  <si>
    <t>Foz do Iguaçu</t>
  </si>
  <si>
    <t>Foz do Jordão</t>
  </si>
  <si>
    <t>Francisco Alves</t>
  </si>
  <si>
    <t>Francisco Beltrão</t>
  </si>
  <si>
    <t>General Carneiro</t>
  </si>
  <si>
    <t>Godoy Moreira</t>
  </si>
  <si>
    <t>Goioerê</t>
  </si>
  <si>
    <t>Goioxim</t>
  </si>
  <si>
    <t>Grandes Rios</t>
  </si>
  <si>
    <t>Guaíra</t>
  </si>
  <si>
    <t>Guairaçá</t>
  </si>
  <si>
    <t>Guamiranga</t>
  </si>
  <si>
    <t>Guapirama</t>
  </si>
  <si>
    <t>Guaporema</t>
  </si>
  <si>
    <t>Guaraci</t>
  </si>
  <si>
    <t>Guaraniaçu</t>
  </si>
  <si>
    <t>Guarapuava</t>
  </si>
  <si>
    <t>Guaraqueçaba</t>
  </si>
  <si>
    <t>Guaratuba</t>
  </si>
  <si>
    <t>Honório Serpa</t>
  </si>
  <si>
    <t>Ibaiti</t>
  </si>
  <si>
    <t>Ibema</t>
  </si>
  <si>
    <t>Ibiporã</t>
  </si>
  <si>
    <t>Icaraíma</t>
  </si>
  <si>
    <t>Iguaraçu</t>
  </si>
  <si>
    <t>Iguatu</t>
  </si>
  <si>
    <t>Imbaú</t>
  </si>
  <si>
    <t>Imbituva</t>
  </si>
  <si>
    <t>Inácio Martins</t>
  </si>
  <si>
    <t>Inajá</t>
  </si>
  <si>
    <t>Indianópolis</t>
  </si>
  <si>
    <t>Ipiranga</t>
  </si>
  <si>
    <t>Iporã</t>
  </si>
  <si>
    <t>Iracema do Oeste</t>
  </si>
  <si>
    <t>Irati</t>
  </si>
  <si>
    <t>Iretama</t>
  </si>
  <si>
    <t>Itaguajé</t>
  </si>
  <si>
    <t>Itaipulândia</t>
  </si>
  <si>
    <t>Itambaracá</t>
  </si>
  <si>
    <t>Itambé</t>
  </si>
  <si>
    <t>Itapejara do Oeste</t>
  </si>
  <si>
    <t>Itaperuçu</t>
  </si>
  <si>
    <t>Itaúna do Sul</t>
  </si>
  <si>
    <t>Ivaí</t>
  </si>
  <si>
    <t>Ivaiporã</t>
  </si>
  <si>
    <t>Ivaté</t>
  </si>
  <si>
    <t>Ivatuba</t>
  </si>
  <si>
    <t>Jaboti</t>
  </si>
  <si>
    <t>Jacarezinho</t>
  </si>
  <si>
    <t>Jaguapitã</t>
  </si>
  <si>
    <t>Jaguariaíva</t>
  </si>
  <si>
    <t>Jandaia do Sul</t>
  </si>
  <si>
    <t>Janiópolis</t>
  </si>
  <si>
    <t>Japira</t>
  </si>
  <si>
    <t>Japurá</t>
  </si>
  <si>
    <t>Jardim Alegre</t>
  </si>
  <si>
    <t>Jardim Olinda</t>
  </si>
  <si>
    <t>Jataizinho</t>
  </si>
  <si>
    <t>Jesuítas</t>
  </si>
  <si>
    <t>Joaquim Távora</t>
  </si>
  <si>
    <t>Jundiaí do Sul</t>
  </si>
  <si>
    <t>Juranda</t>
  </si>
  <si>
    <t>Jussara</t>
  </si>
  <si>
    <t>Kaloré</t>
  </si>
  <si>
    <t>Lapa</t>
  </si>
  <si>
    <t>Laranjal</t>
  </si>
  <si>
    <t>Laranjeiras do Sul</t>
  </si>
  <si>
    <t>Leópolis</t>
  </si>
  <si>
    <t>Lidianópolis</t>
  </si>
  <si>
    <t>Lindoeste</t>
  </si>
  <si>
    <t>Loanda</t>
  </si>
  <si>
    <t>Lobato</t>
  </si>
  <si>
    <t>Londrina</t>
  </si>
  <si>
    <t>Luiziana</t>
  </si>
  <si>
    <t>Lunardelli</t>
  </si>
  <si>
    <t>Lupionópolis</t>
  </si>
  <si>
    <t>Mallet</t>
  </si>
  <si>
    <t>Mamborê</t>
  </si>
  <si>
    <t>Mandaguaçu</t>
  </si>
  <si>
    <t>Mandaguarí</t>
  </si>
  <si>
    <t>Mandirituba</t>
  </si>
  <si>
    <t>Manfrinópolis</t>
  </si>
  <si>
    <t>Mangueirinha</t>
  </si>
  <si>
    <t>Manoel Ribas</t>
  </si>
  <si>
    <t>Marechal Cândido Rondon</t>
  </si>
  <si>
    <t>Maria Helena</t>
  </si>
  <si>
    <t>Marialva</t>
  </si>
  <si>
    <t>Marilândia do Sul</t>
  </si>
  <si>
    <t>Marilena</t>
  </si>
  <si>
    <t>Mariluz</t>
  </si>
  <si>
    <t>Maringá</t>
  </si>
  <si>
    <t>Mariópolis</t>
  </si>
  <si>
    <t>Maripá</t>
  </si>
  <si>
    <t>Marmeleiro</t>
  </si>
  <si>
    <t>Marquinho</t>
  </si>
  <si>
    <t>Marumbi</t>
  </si>
  <si>
    <t>Matelândia</t>
  </si>
  <si>
    <t>Matinhos</t>
  </si>
  <si>
    <t>Mato Rico</t>
  </si>
  <si>
    <t>Mauá da Serra</t>
  </si>
  <si>
    <t>Medianeira</t>
  </si>
  <si>
    <t>Mercedes</t>
  </si>
  <si>
    <t>Mirador</t>
  </si>
  <si>
    <t>Miraselva</t>
  </si>
  <si>
    <t>Missal</t>
  </si>
  <si>
    <t>Moreira Sales</t>
  </si>
  <si>
    <t>Morretes</t>
  </si>
  <si>
    <t>Munhoz de Melo</t>
  </si>
  <si>
    <t>Nossa Senhora das Graças</t>
  </si>
  <si>
    <t>Nova Aliança do Ivaí</t>
  </si>
  <si>
    <t>Nova América da Colina</t>
  </si>
  <si>
    <t>Nova Aurora</t>
  </si>
  <si>
    <t>Nova Cantu</t>
  </si>
  <si>
    <t>Nova Esperança</t>
  </si>
  <si>
    <t>Nova Esperança do Sudoeste</t>
  </si>
  <si>
    <t>Nova Fátima</t>
  </si>
  <si>
    <t>Nova Laranjeiras</t>
  </si>
  <si>
    <t>Nova Londrina</t>
  </si>
  <si>
    <t>Nova Olímpia</t>
  </si>
  <si>
    <t>Nova Prata do Iguaçu</t>
  </si>
  <si>
    <t>Nova Santa Bárbara</t>
  </si>
  <si>
    <t>Nova Santa Rosa</t>
  </si>
  <si>
    <t>Nova Tebas</t>
  </si>
  <si>
    <t>Novo Itacolomi</t>
  </si>
  <si>
    <t>Ortigueira</t>
  </si>
  <si>
    <t>Ourizona</t>
  </si>
  <si>
    <t>Ouro Verde do Oeste</t>
  </si>
  <si>
    <t>Paiçandu</t>
  </si>
  <si>
    <t>Palmas</t>
  </si>
  <si>
    <t>Palmeira</t>
  </si>
  <si>
    <t>Palmital</t>
  </si>
  <si>
    <t>Palotina</t>
  </si>
  <si>
    <t>Paraíso do Norte</t>
  </si>
  <si>
    <t>Paranacity</t>
  </si>
  <si>
    <t>Paranaguá</t>
  </si>
  <si>
    <t>Paranapoema</t>
  </si>
  <si>
    <t>Paranavaí</t>
  </si>
  <si>
    <t>Pato Bragado</t>
  </si>
  <si>
    <t>Pato Branco</t>
  </si>
  <si>
    <t>Paula Freitas</t>
  </si>
  <si>
    <t>Paulo Frontin</t>
  </si>
  <si>
    <t>Peabiru</t>
  </si>
  <si>
    <t>Perobal</t>
  </si>
  <si>
    <t>Pérola</t>
  </si>
  <si>
    <t>Pérola do Oeste</t>
  </si>
  <si>
    <t>Piên</t>
  </si>
  <si>
    <t>Pinhais</t>
  </si>
  <si>
    <t>Pinhal de São Bento</t>
  </si>
  <si>
    <t>Pinhalão</t>
  </si>
  <si>
    <t>Pinhão</t>
  </si>
  <si>
    <t>Piraí do Sul</t>
  </si>
  <si>
    <t>Piraquara</t>
  </si>
  <si>
    <t>Pitanga</t>
  </si>
  <si>
    <t>Pitangueiras</t>
  </si>
  <si>
    <t>Planaltina do Paraná</t>
  </si>
  <si>
    <t>Planalto</t>
  </si>
  <si>
    <t>Ponta Grossa</t>
  </si>
  <si>
    <t>Pontal do Paraná</t>
  </si>
  <si>
    <t>Porecatu</t>
  </si>
  <si>
    <t>Porto Amazonas</t>
  </si>
  <si>
    <t>Porto Barreiro</t>
  </si>
  <si>
    <t>Porto Rico</t>
  </si>
  <si>
    <t>Porto Vitória</t>
  </si>
  <si>
    <t>Prado Ferreira</t>
  </si>
  <si>
    <t>Pranchita</t>
  </si>
  <si>
    <t>Presidente Castelo Branco</t>
  </si>
  <si>
    <t>Primeiro de Maio</t>
  </si>
  <si>
    <t>Prudentópolis</t>
  </si>
  <si>
    <t>Quarto Centenário</t>
  </si>
  <si>
    <t>Quatiguá</t>
  </si>
  <si>
    <t>Quatro Barras</t>
  </si>
  <si>
    <t>Quatro Pontes</t>
  </si>
  <si>
    <t>Quedas do Iguaçu</t>
  </si>
  <si>
    <t>Querência do Norte</t>
  </si>
  <si>
    <t>Quinta do Sol</t>
  </si>
  <si>
    <t>Quitandinha</t>
  </si>
  <si>
    <t>Ramilândia</t>
  </si>
  <si>
    <t>Rancho Alegre</t>
  </si>
  <si>
    <t>Rancho Alegre do Oeste</t>
  </si>
  <si>
    <t>Realeza</t>
  </si>
  <si>
    <t>Rebouças</t>
  </si>
  <si>
    <t>Renascença</t>
  </si>
  <si>
    <t>Reserva</t>
  </si>
  <si>
    <t>Reserva do Iguaçú</t>
  </si>
  <si>
    <t>Ribeirão Claro</t>
  </si>
  <si>
    <t>Ribeirão Do Pinhal</t>
  </si>
  <si>
    <t>Rio Azul</t>
  </si>
  <si>
    <t>Rio Bom</t>
  </si>
  <si>
    <t>Rio Bonito do Iguaçu</t>
  </si>
  <si>
    <t>Rio Branco do Ivaí</t>
  </si>
  <si>
    <t>Rio Branco do Sul</t>
  </si>
  <si>
    <t>Rio Negro</t>
  </si>
  <si>
    <t>Rolândia</t>
  </si>
  <si>
    <t>Roncador</t>
  </si>
  <si>
    <t>Rondon</t>
  </si>
  <si>
    <t>Rosário do Ivaí</t>
  </si>
  <si>
    <t>Sabáudia</t>
  </si>
  <si>
    <t>Salgado Filho</t>
  </si>
  <si>
    <t>Salto do Itararé</t>
  </si>
  <si>
    <t>Salto do Lontra</t>
  </si>
  <si>
    <t>Santa Amélia</t>
  </si>
  <si>
    <t>Santa Cecília do Pavão</t>
  </si>
  <si>
    <t>Santa Cruz de Monte Castelo</t>
  </si>
  <si>
    <t>Santa Fé</t>
  </si>
  <si>
    <t>Santa Helena</t>
  </si>
  <si>
    <t>Santa Inês</t>
  </si>
  <si>
    <t>Santa Isabel do Ivaí</t>
  </si>
  <si>
    <t>Santa Izabel do Oeste</t>
  </si>
  <si>
    <t>Santa Lúcia</t>
  </si>
  <si>
    <t>Santa Maria do Oeste</t>
  </si>
  <si>
    <t>Santa Mariana</t>
  </si>
  <si>
    <t>Santa Mônica</t>
  </si>
  <si>
    <t>Santa Tereza do Oeste</t>
  </si>
  <si>
    <t>Santa Terezinha de Itaipu</t>
  </si>
  <si>
    <t>Santana do Itararé</t>
  </si>
  <si>
    <t>Santo Antônio da Platina</t>
  </si>
  <si>
    <t>Santo Antônio do Caiuá</t>
  </si>
  <si>
    <t>Santo Antônio do Paraíso</t>
  </si>
  <si>
    <t>Santo Antônio do Sudoeste</t>
  </si>
  <si>
    <t>Santo Inácio</t>
  </si>
  <si>
    <t>São Carlos do Ivaí</t>
  </si>
  <si>
    <t>São Jerônimo da Serra</t>
  </si>
  <si>
    <t>São João</t>
  </si>
  <si>
    <t>São João do Caiuá</t>
  </si>
  <si>
    <t>São João do Ivaí</t>
  </si>
  <si>
    <t>São João do Triunfo</t>
  </si>
  <si>
    <t>São Jorge do Ivaí</t>
  </si>
  <si>
    <t>São Jorge do Oeste</t>
  </si>
  <si>
    <t>São Jorge do Patrocínio</t>
  </si>
  <si>
    <t>São José da Boa Vista</t>
  </si>
  <si>
    <t>São José das Palmeiras</t>
  </si>
  <si>
    <t>São José dos Pinhais</t>
  </si>
  <si>
    <t>São Manoel do Paraná</t>
  </si>
  <si>
    <t>São Mateus do Sul</t>
  </si>
  <si>
    <t>São Miguel do Iguaçu</t>
  </si>
  <si>
    <t>São Pedro do Iguaçu</t>
  </si>
  <si>
    <t>São Pedro do Ivaí</t>
  </si>
  <si>
    <t>São Pedro do Paraná</t>
  </si>
  <si>
    <t>São Sebastião da Amoreira</t>
  </si>
  <si>
    <t>São Tomé</t>
  </si>
  <si>
    <t>Sapopema</t>
  </si>
  <si>
    <t>Sarandi</t>
  </si>
  <si>
    <t>Saudade do Iguaçu</t>
  </si>
  <si>
    <t>Sengés</t>
  </si>
  <si>
    <t>Serranópolis do Iguaçu</t>
  </si>
  <si>
    <t>Sertaneja</t>
  </si>
  <si>
    <t>Sertanópolis</t>
  </si>
  <si>
    <t>Siqueira Campos</t>
  </si>
  <si>
    <t>Sulina</t>
  </si>
  <si>
    <t>Tamarana</t>
  </si>
  <si>
    <t>Tamboara</t>
  </si>
  <si>
    <t>Tapejara</t>
  </si>
  <si>
    <t>Tapira</t>
  </si>
  <si>
    <t>Teixeira Soares</t>
  </si>
  <si>
    <t>Telêmaco Borba</t>
  </si>
  <si>
    <t>Terra Boa</t>
  </si>
  <si>
    <t>Terra Rica</t>
  </si>
  <si>
    <t>Terra Roxa</t>
  </si>
  <si>
    <t>Tibagi</t>
  </si>
  <si>
    <t>Tijucas do Sul</t>
  </si>
  <si>
    <t>Toledo</t>
  </si>
  <si>
    <t>Tomazina</t>
  </si>
  <si>
    <t>Três Barras do Paraná</t>
  </si>
  <si>
    <t>Tunas do Paraná</t>
  </si>
  <si>
    <t>Tuneiras do Oeste</t>
  </si>
  <si>
    <t>Tupãssi</t>
  </si>
  <si>
    <t>Turvo</t>
  </si>
  <si>
    <t>Ubiratã</t>
  </si>
  <si>
    <t>Umuarama</t>
  </si>
  <si>
    <t>União da Vitória</t>
  </si>
  <si>
    <t>Uniflor</t>
  </si>
  <si>
    <t>Uraí</t>
  </si>
  <si>
    <t>Ventania</t>
  </si>
  <si>
    <t>Vera Cruz do Oeste</t>
  </si>
  <si>
    <t>Verê</t>
  </si>
  <si>
    <t>Virmond</t>
  </si>
  <si>
    <t>Vitorino</t>
  </si>
  <si>
    <t>Wenceslau Braz</t>
  </si>
  <si>
    <t>Xambrê</t>
  </si>
  <si>
    <t>ER</t>
  </si>
  <si>
    <t>Trecho</t>
  </si>
  <si>
    <t>Rua</t>
  </si>
  <si>
    <t>Jus</t>
  </si>
  <si>
    <t>Mon</t>
  </si>
  <si>
    <t>Locação do Ponto</t>
  </si>
  <si>
    <t>Cota da Galeria</t>
  </si>
  <si>
    <t>Mon
(m)</t>
  </si>
  <si>
    <t>Jus
(m)</t>
  </si>
  <si>
    <t>Ext
(m)</t>
  </si>
  <si>
    <t>Cota do PV</t>
  </si>
  <si>
    <t>Recobr Galeria</t>
  </si>
  <si>
    <t>Max
(m)</t>
  </si>
  <si>
    <t>Min
(m)</t>
  </si>
  <si>
    <t>L
(km)</t>
  </si>
  <si>
    <t>Dh
(m)</t>
  </si>
  <si>
    <t>Área
(m²)</t>
  </si>
  <si>
    <t>Coef
Imper</t>
  </si>
  <si>
    <t>Área acum (ha)</t>
  </si>
  <si>
    <t>Coef
distr</t>
  </si>
  <si>
    <t>Tempo
conc
(min)</t>
  </si>
  <si>
    <t>Intens
pluv
(mm/h)</t>
  </si>
  <si>
    <t>Coef
defluv
(mm/h)</t>
  </si>
  <si>
    <t>Defl
parcial
(l/s)</t>
  </si>
  <si>
    <t>Defl
total
(l/s)</t>
  </si>
  <si>
    <t>Vel
(m/s)</t>
  </si>
  <si>
    <t>Intensidade pluviométrica por ER (mm/h)</t>
  </si>
  <si>
    <t>Coeficiente auxiliares</t>
  </si>
  <si>
    <t>Diâm
(m)</t>
  </si>
  <si>
    <t>Ench
(%)</t>
  </si>
  <si>
    <t>Município</t>
  </si>
  <si>
    <t>Observações</t>
  </si>
  <si>
    <t>Tirante
Normal</t>
  </si>
  <si>
    <t>Sarjeta</t>
  </si>
  <si>
    <t>Capac
condu
(l/s)</t>
  </si>
  <si>
    <t>Decliv
Tub
(%)</t>
  </si>
  <si>
    <t>Decliv
Rua
(%)</t>
  </si>
  <si>
    <t>B.L. (un)</t>
  </si>
  <si>
    <t>Coef. de rugosidade</t>
  </si>
  <si>
    <t>M.F. Altura (m)</t>
  </si>
  <si>
    <t>M.F. Base (m)</t>
  </si>
  <si>
    <t>M.F. Base molhada (m)</t>
  </si>
  <si>
    <t>M.F. Altura molhada max (m)</t>
  </si>
  <si>
    <t>M.F. Altura sarjeta (m)</t>
  </si>
  <si>
    <t>M.F. Inclinação (m/m)</t>
  </si>
  <si>
    <t xml:space="preserve">Pav. Tipo </t>
  </si>
  <si>
    <t>Pav. Faixa molhada (m)</t>
  </si>
  <si>
    <t xml:space="preserve">Pav. Inclinação </t>
  </si>
  <si>
    <t>Altura molhada (m)</t>
  </si>
  <si>
    <t>Perímetro Molhado (m)</t>
  </si>
  <si>
    <t>Área Molhada (m²)</t>
  </si>
  <si>
    <t>Raio hidráulico (m)</t>
  </si>
  <si>
    <t>Capacidade por B.L. (l/s)</t>
  </si>
  <si>
    <t>Defl
sarjeta
(l/s)</t>
  </si>
  <si>
    <t>Parâmetros de cálculo da sarjeta</t>
  </si>
  <si>
    <t>Meio fio</t>
  </si>
  <si>
    <t>Pavimentação</t>
  </si>
  <si>
    <t>Qtd de tubos (ud)</t>
  </si>
  <si>
    <t>TAMANHO DO MEIO FIO</t>
  </si>
  <si>
    <t>Poliédrico</t>
  </si>
  <si>
    <t>Coeficiente</t>
  </si>
  <si>
    <t>Diâmetro</t>
  </si>
  <si>
    <t>Empreendimento: Campo Mourão - Viver Mais - 27ª Etapa - 40 uds</t>
  </si>
  <si>
    <t>A.I. 1</t>
  </si>
  <si>
    <t>PV01</t>
  </si>
  <si>
    <t>PV04</t>
  </si>
  <si>
    <t>A.I. 2</t>
  </si>
  <si>
    <t>PV07</t>
  </si>
  <si>
    <t>A.I. 3</t>
  </si>
  <si>
    <t>PV10</t>
  </si>
  <si>
    <t>A.I. 4</t>
  </si>
  <si>
    <t>Planilha de cálculo – Drenagem superficial (REDE INTERNA) – Memorial de cálculo</t>
  </si>
  <si>
    <t>CLexist.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</si>
</sst>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%"/>
    <numFmt numFmtId="165" formatCode="#,##0.000"/>
    <numFmt numFmtId="166" formatCode="#,##0.0000"/>
    <numFmt numFmtId="167" formatCode="#,##0.0"/>
    <numFmt numFmtId="168" formatCode="0.0"/>
    <numFmt numFmtId="169" formatCode="#&quot; cm&quot;"/>
  </numFmts>
  <fonts count="10" x14ac:knownFonts="1">
    <font>
      <sz val="10"/>
      <name val="Arial"/>
    </font>
    <font>
      <b/>
      <sz val="10"/>
      <name val="Arial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sz val="10"/>
      <color indexed="18"/>
      <name val="Arial"/>
      <family val="2"/>
    </font>
    <font>
      <b/>
      <sz val="14"/>
      <name val="Arial"/>
      <family val="2"/>
    </font>
    <font>
      <sz val="8"/>
      <color indexed="18"/>
      <name val="Arial"/>
      <family val="2"/>
    </font>
    <font>
      <sz val="10"/>
      <color indexed="55"/>
      <name val="Arial"/>
      <family val="2"/>
    </font>
    <font>
      <b/>
      <sz val="10"/>
      <color indexed="55"/>
      <name val="Arial"/>
      <family val="2"/>
    </font>
    <font>
      <b/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Continuous" wrapText="1"/>
    </xf>
    <xf numFmtId="0" fontId="1" fillId="0" borderId="1" xfId="0" applyFont="1" applyBorder="1" applyAlignment="1">
      <alignment horizontal="centerContinuous"/>
    </xf>
    <xf numFmtId="166" fontId="0" fillId="0" borderId="1" xfId="0" applyNumberFormat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6" fontId="0" fillId="0" borderId="1" xfId="0" applyNumberFormat="1" applyBorder="1" applyAlignment="1">
      <alignment horizontal="left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167" fontId="3" fillId="0" borderId="0" xfId="0" applyNumberFormat="1" applyFont="1" applyFill="1" applyBorder="1" applyAlignment="1">
      <alignment vertical="center"/>
    </xf>
    <xf numFmtId="168" fontId="0" fillId="0" borderId="0" xfId="0" applyNumberFormat="1" applyFill="1" applyBorder="1" applyAlignment="1">
      <alignment vertical="center"/>
    </xf>
    <xf numFmtId="4" fontId="0" fillId="0" borderId="0" xfId="0" applyNumberFormat="1" applyFill="1" applyBorder="1" applyAlignment="1">
      <alignment vertical="center"/>
    </xf>
    <xf numFmtId="164" fontId="0" fillId="0" borderId="0" xfId="0" applyNumberFormat="1" applyFill="1" applyBorder="1" applyAlignment="1">
      <alignment vertical="center"/>
    </xf>
    <xf numFmtId="4" fontId="3" fillId="0" borderId="0" xfId="0" applyNumberFormat="1" applyFont="1" applyFill="1" applyBorder="1" applyAlignment="1">
      <alignment vertical="center"/>
    </xf>
    <xf numFmtId="0" fontId="1" fillId="0" borderId="1" xfId="0" applyFont="1" applyBorder="1" applyAlignment="1">
      <alignment horizontal="centerContinuous" vertical="center"/>
    </xf>
    <xf numFmtId="0" fontId="1" fillId="0" borderId="2" xfId="0" applyFont="1" applyBorder="1" applyAlignment="1">
      <alignment horizontal="centerContinuous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Border="1" applyAlignment="1">
      <alignment vertical="center"/>
    </xf>
    <xf numFmtId="0" fontId="4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167" fontId="4" fillId="0" borderId="0" xfId="0" applyNumberFormat="1" applyFont="1" applyFill="1" applyBorder="1" applyAlignment="1" applyProtection="1">
      <alignment vertical="center"/>
      <protection locked="0"/>
    </xf>
    <xf numFmtId="168" fontId="4" fillId="0" borderId="0" xfId="0" applyNumberFormat="1" applyFont="1" applyFill="1" applyBorder="1" applyAlignment="1" applyProtection="1">
      <alignment vertical="center"/>
      <protection locked="0"/>
    </xf>
    <xf numFmtId="3" fontId="4" fillId="0" borderId="0" xfId="0" applyNumberFormat="1" applyFont="1" applyFill="1" applyBorder="1" applyAlignment="1" applyProtection="1">
      <alignment vertical="center"/>
      <protection locked="0"/>
    </xf>
    <xf numFmtId="4" fontId="4" fillId="0" borderId="0" xfId="0" applyNumberFormat="1" applyFont="1" applyFill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  <protection locked="0"/>
    </xf>
    <xf numFmtId="4" fontId="3" fillId="0" borderId="0" xfId="0" applyNumberFormat="1" applyFont="1" applyFill="1" applyBorder="1" applyAlignment="1" applyProtection="1">
      <alignment vertical="center"/>
    </xf>
    <xf numFmtId="4" fontId="6" fillId="0" borderId="0" xfId="0" applyNumberFormat="1" applyFont="1" applyFill="1" applyBorder="1" applyAlignment="1" applyProtection="1">
      <alignment vertical="center"/>
      <protection locked="0"/>
    </xf>
    <xf numFmtId="4" fontId="0" fillId="2" borderId="0" xfId="0" applyNumberFormat="1" applyFill="1" applyAlignment="1">
      <alignment vertical="center"/>
    </xf>
    <xf numFmtId="164" fontId="0" fillId="0" borderId="0" xfId="0" applyNumberFormat="1" applyFill="1" applyBorder="1" applyAlignment="1">
      <alignment horizontal="center" vertical="center"/>
    </xf>
    <xf numFmtId="0" fontId="3" fillId="0" borderId="0" xfId="0" applyFont="1" applyFill="1" applyBorder="1" applyAlignment="1" applyProtection="1">
      <alignment horizontal="left"/>
      <protection hidden="1"/>
    </xf>
    <xf numFmtId="4" fontId="1" fillId="0" borderId="0" xfId="0" applyNumberFormat="1" applyFont="1" applyFill="1" applyBorder="1" applyAlignment="1" applyProtection="1">
      <alignment horizontal="right"/>
      <protection locked="0" hidden="1"/>
    </xf>
    <xf numFmtId="0" fontId="0" fillId="0" borderId="0" xfId="0" applyFill="1"/>
    <xf numFmtId="3" fontId="0" fillId="0" borderId="0" xfId="0" applyNumberFormat="1" applyFill="1" applyBorder="1" applyAlignment="1">
      <alignment vertical="center"/>
    </xf>
    <xf numFmtId="4" fontId="1" fillId="0" borderId="1" xfId="0" applyNumberFormat="1" applyFont="1" applyBorder="1" applyAlignment="1">
      <alignment horizontal="centerContinuous" vertical="center"/>
    </xf>
    <xf numFmtId="0" fontId="0" fillId="0" borderId="0" xfId="0" applyProtection="1"/>
    <xf numFmtId="164" fontId="0" fillId="0" borderId="0" xfId="0" applyNumberFormat="1" applyProtection="1"/>
    <xf numFmtId="0" fontId="0" fillId="0" borderId="1" xfId="0" applyBorder="1" applyProtection="1"/>
    <xf numFmtId="9" fontId="3" fillId="0" borderId="1" xfId="0" applyNumberFormat="1" applyFont="1" applyBorder="1" applyProtection="1"/>
    <xf numFmtId="0" fontId="3" fillId="0" borderId="1" xfId="0" applyFont="1" applyBorder="1" applyProtection="1"/>
    <xf numFmtId="165" fontId="3" fillId="0" borderId="1" xfId="0" applyNumberFormat="1" applyFont="1" applyBorder="1" applyProtection="1"/>
    <xf numFmtId="0" fontId="3" fillId="0" borderId="1" xfId="0" applyFont="1" applyFill="1" applyBorder="1" applyAlignment="1" applyProtection="1">
      <alignment horizontal="left"/>
    </xf>
    <xf numFmtId="165" fontId="0" fillId="0" borderId="0" xfId="0" applyNumberFormat="1" applyProtection="1"/>
    <xf numFmtId="4" fontId="7" fillId="0" borderId="0" xfId="0" applyNumberFormat="1" applyFont="1" applyAlignment="1">
      <alignment vertical="center"/>
    </xf>
    <xf numFmtId="4" fontId="8" fillId="0" borderId="3" xfId="0" applyNumberFormat="1" applyFont="1" applyBorder="1" applyAlignment="1">
      <alignment horizontal="centerContinuous" vertical="center"/>
    </xf>
    <xf numFmtId="4" fontId="7" fillId="0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 applyProtection="1">
      <alignment horizontal="left"/>
      <protection hidden="1"/>
    </xf>
    <xf numFmtId="4" fontId="1" fillId="2" borderId="0" xfId="0" applyNumberFormat="1" applyFont="1" applyFill="1" applyBorder="1" applyAlignment="1" applyProtection="1">
      <alignment horizontal="right"/>
      <protection locked="0" hidden="1"/>
    </xf>
    <xf numFmtId="4" fontId="7" fillId="2" borderId="0" xfId="0" applyNumberFormat="1" applyFont="1" applyFill="1" applyAlignment="1">
      <alignment vertical="center"/>
    </xf>
    <xf numFmtId="0" fontId="9" fillId="2" borderId="0" xfId="0" applyFont="1" applyFill="1" applyAlignment="1" applyProtection="1">
      <alignment vertical="center"/>
      <protection locked="0"/>
    </xf>
    <xf numFmtId="0" fontId="9" fillId="2" borderId="0" xfId="0" applyFont="1" applyFill="1" applyAlignment="1">
      <alignment vertical="center"/>
    </xf>
    <xf numFmtId="0" fontId="0" fillId="0" borderId="4" xfId="0" applyBorder="1" applyProtection="1"/>
    <xf numFmtId="0" fontId="1" fillId="3" borderId="5" xfId="0" applyFont="1" applyFill="1" applyBorder="1" applyAlignment="1" applyProtection="1">
      <alignment horizontal="center" vertical="center"/>
      <protection locked="0"/>
    </xf>
    <xf numFmtId="0" fontId="1" fillId="3" borderId="6" xfId="0" applyFont="1" applyFill="1" applyBorder="1" applyAlignment="1" applyProtection="1">
      <alignment horizontal="center" vertical="center"/>
    </xf>
    <xf numFmtId="2" fontId="3" fillId="0" borderId="4" xfId="0" applyNumberFormat="1" applyFont="1" applyBorder="1" applyProtection="1"/>
    <xf numFmtId="2" fontId="3" fillId="0" borderId="1" xfId="0" applyNumberFormat="1" applyFont="1" applyBorder="1" applyProtection="1"/>
    <xf numFmtId="0" fontId="3" fillId="3" borderId="1" xfId="0" applyFont="1" applyFill="1" applyBorder="1" applyAlignment="1" applyProtection="1">
      <alignment horizontal="right"/>
      <protection locked="0"/>
    </xf>
    <xf numFmtId="0" fontId="3" fillId="3" borderId="1" xfId="0" applyFont="1" applyFill="1" applyBorder="1" applyProtection="1">
      <protection locked="0"/>
    </xf>
    <xf numFmtId="9" fontId="3" fillId="3" borderId="1" xfId="0" applyNumberFormat="1" applyFont="1" applyFill="1" applyBorder="1" applyProtection="1">
      <protection locked="0"/>
    </xf>
    <xf numFmtId="4" fontId="3" fillId="3" borderId="1" xfId="0" applyNumberFormat="1" applyFont="1" applyFill="1" applyBorder="1" applyAlignment="1" applyProtection="1">
      <alignment horizontal="right"/>
      <protection locked="0"/>
    </xf>
    <xf numFmtId="168" fontId="0" fillId="0" borderId="0" xfId="0" applyNumberFormat="1" applyAlignment="1">
      <alignment horizontal="center"/>
    </xf>
    <xf numFmtId="0" fontId="0" fillId="0" borderId="1" xfId="0" applyBorder="1" applyAlignment="1" applyProtection="1">
      <alignment horizontal="center" vertical="center" textRotation="90"/>
    </xf>
    <xf numFmtId="169" fontId="0" fillId="0" borderId="0" xfId="0" applyNumberFormat="1" applyAlignment="1" applyProtection="1">
      <alignment horizontal="center" vertical="center" textRotation="90"/>
    </xf>
    <xf numFmtId="169" fontId="0" fillId="0" borderId="0" xfId="0" applyNumberFormat="1" applyAlignment="1" applyProtection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8" fillId="0" borderId="7" xfId="0" applyNumberFormat="1" applyFont="1" applyBorder="1" applyAlignment="1">
      <alignment horizontal="center" vertical="center"/>
    </xf>
    <xf numFmtId="4" fontId="8" fillId="0" borderId="8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" fontId="8" fillId="0" borderId="7" xfId="0" applyNumberFormat="1" applyFont="1" applyBorder="1" applyAlignment="1">
      <alignment horizontal="center" vertical="center" wrapText="1"/>
    </xf>
    <xf numFmtId="4" fontId="8" fillId="0" borderId="8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38">
    <dxf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indexed="10"/>
        </patternFill>
      </fill>
      <border>
        <left style="thin">
          <color indexed="55"/>
        </left>
        <right style="thin">
          <color indexed="55"/>
        </right>
        <top style="thin">
          <color indexed="55"/>
        </top>
        <bottom style="thin">
          <color indexed="55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indexed="10"/>
        </patternFill>
      </fill>
      <border>
        <left style="thin">
          <color indexed="55"/>
        </left>
        <right style="thin">
          <color indexed="55"/>
        </right>
        <top style="thin">
          <color indexed="55"/>
        </top>
        <bottom style="thin">
          <color indexed="55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55"/>
        </left>
        <right style="thin">
          <color indexed="55"/>
        </right>
        <top style="thin">
          <color indexed="55"/>
        </top>
        <bottom style="thin">
          <color indexed="55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indexed="10"/>
        </patternFill>
      </fill>
      <border>
        <left style="thin">
          <color indexed="55"/>
        </left>
        <right style="thin">
          <color indexed="55"/>
        </right>
        <top style="thin">
          <color indexed="55"/>
        </top>
        <bottom style="thin">
          <color indexed="55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 patternType="none">
          <bgColor indexed="65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ill>
        <patternFill>
          <bgColor indexed="10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border>
        <left style="thin">
          <color indexed="55"/>
        </left>
        <right style="thin">
          <color indexed="55"/>
        </right>
        <top style="thin">
          <color indexed="55"/>
        </top>
        <bottom style="thin">
          <color indexed="55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66675</xdr:colOff>
      <xdr:row>5</xdr:row>
      <xdr:rowOff>38100</xdr:rowOff>
    </xdr:from>
    <xdr:to>
      <xdr:col>15</xdr:col>
      <xdr:colOff>76200</xdr:colOff>
      <xdr:row>16</xdr:row>
      <xdr:rowOff>133350</xdr:rowOff>
    </xdr:to>
    <xdr:sp macro="" textlink="">
      <xdr:nvSpPr>
        <xdr:cNvPr id="3285" name="Freeform 9">
          <a:extLst>
            <a:ext uri="{FF2B5EF4-FFF2-40B4-BE49-F238E27FC236}">
              <a16:creationId xmlns:a16="http://schemas.microsoft.com/office/drawing/2014/main" xmlns="" id="{00000000-0008-0000-0300-0000D50C0000}"/>
            </a:ext>
          </a:extLst>
        </xdr:cNvPr>
        <xdr:cNvSpPr>
          <a:spLocks/>
        </xdr:cNvSpPr>
      </xdr:nvSpPr>
      <xdr:spPr bwMode="auto">
        <a:xfrm>
          <a:off x="3524250" y="809625"/>
          <a:ext cx="2200275" cy="1876425"/>
        </a:xfrm>
        <a:custGeom>
          <a:avLst/>
          <a:gdLst>
            <a:gd name="T0" fmla="*/ 0 w 231"/>
            <a:gd name="T1" fmla="*/ 2147483647 h 197"/>
            <a:gd name="T2" fmla="*/ 2147483647 w 231"/>
            <a:gd name="T3" fmla="*/ 2147483647 h 197"/>
            <a:gd name="T4" fmla="*/ 2147483647 w 231"/>
            <a:gd name="T5" fmla="*/ 0 h 197"/>
            <a:gd name="T6" fmla="*/ 2147483647 w 231"/>
            <a:gd name="T7" fmla="*/ 0 h 197"/>
            <a:gd name="T8" fmla="*/ 2147483647 w 231"/>
            <a:gd name="T9" fmla="*/ 2147483647 h 197"/>
            <a:gd name="T10" fmla="*/ 0 w 231"/>
            <a:gd name="T11" fmla="*/ 2147483647 h 197"/>
            <a:gd name="T12" fmla="*/ 0 w 231"/>
            <a:gd name="T13" fmla="*/ 2147483647 h 197"/>
            <a:gd name="T14" fmla="*/ 0 60000 65536"/>
            <a:gd name="T15" fmla="*/ 0 60000 65536"/>
            <a:gd name="T16" fmla="*/ 0 60000 65536"/>
            <a:gd name="T17" fmla="*/ 0 60000 65536"/>
            <a:gd name="T18" fmla="*/ 0 60000 65536"/>
            <a:gd name="T19" fmla="*/ 0 60000 65536"/>
            <a:gd name="T20" fmla="*/ 0 60000 65536"/>
          </a:gdLst>
          <a:ahLst/>
          <a:cxnLst>
            <a:cxn ang="T14">
              <a:pos x="T0" y="T1"/>
            </a:cxn>
            <a:cxn ang="T15">
              <a:pos x="T2" y="T3"/>
            </a:cxn>
            <a:cxn ang="T16">
              <a:pos x="T4" y="T5"/>
            </a:cxn>
            <a:cxn ang="T17">
              <a:pos x="T6" y="T7"/>
            </a:cxn>
            <a:cxn ang="T18">
              <a:pos x="T8" y="T9"/>
            </a:cxn>
            <a:cxn ang="T19">
              <a:pos x="T10" y="T11"/>
            </a:cxn>
            <a:cxn ang="T20">
              <a:pos x="T12" y="T13"/>
            </a:cxn>
          </a:cxnLst>
          <a:rect l="0" t="0" r="r" b="b"/>
          <a:pathLst>
            <a:path w="231" h="197">
              <a:moveTo>
                <a:pt x="0" y="197"/>
              </a:moveTo>
              <a:lnTo>
                <a:pt x="231" y="197"/>
              </a:lnTo>
              <a:lnTo>
                <a:pt x="231" y="0"/>
              </a:lnTo>
              <a:lnTo>
                <a:pt x="135" y="0"/>
              </a:lnTo>
              <a:lnTo>
                <a:pt x="135" y="130"/>
              </a:lnTo>
              <a:lnTo>
                <a:pt x="0" y="103"/>
              </a:lnTo>
              <a:lnTo>
                <a:pt x="0" y="197"/>
              </a:lnTo>
              <a:close/>
            </a:path>
          </a:pathLst>
        </a:custGeom>
        <a:noFill/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4</xdr:col>
      <xdr:colOff>19050</xdr:colOff>
      <xdr:row>11</xdr:row>
      <xdr:rowOff>76200</xdr:rowOff>
    </xdr:from>
    <xdr:to>
      <xdr:col>4</xdr:col>
      <xdr:colOff>19050</xdr:colOff>
      <xdr:row>16</xdr:row>
      <xdr:rowOff>123825</xdr:rowOff>
    </xdr:to>
    <xdr:sp macro="" textlink="">
      <xdr:nvSpPr>
        <xdr:cNvPr id="3286" name="Line 10">
          <a:extLst>
            <a:ext uri="{FF2B5EF4-FFF2-40B4-BE49-F238E27FC236}">
              <a16:creationId xmlns:a16="http://schemas.microsoft.com/office/drawing/2014/main" xmlns="" id="{00000000-0008-0000-0300-0000D60C0000}"/>
            </a:ext>
          </a:extLst>
        </xdr:cNvPr>
        <xdr:cNvSpPr>
          <a:spLocks noChangeShapeType="1"/>
        </xdr:cNvSpPr>
      </xdr:nvSpPr>
      <xdr:spPr bwMode="auto">
        <a:xfrm flipV="1">
          <a:off x="3257550" y="1819275"/>
          <a:ext cx="0" cy="8572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76200</xdr:colOff>
      <xdr:row>18</xdr:row>
      <xdr:rowOff>0</xdr:rowOff>
    </xdr:from>
    <xdr:to>
      <xdr:col>11</xdr:col>
      <xdr:colOff>38100</xdr:colOff>
      <xdr:row>18</xdr:row>
      <xdr:rowOff>0</xdr:rowOff>
    </xdr:to>
    <xdr:sp macro="" textlink="">
      <xdr:nvSpPr>
        <xdr:cNvPr id="3287" name="Line 11">
          <a:extLst>
            <a:ext uri="{FF2B5EF4-FFF2-40B4-BE49-F238E27FC236}">
              <a16:creationId xmlns:a16="http://schemas.microsoft.com/office/drawing/2014/main" xmlns="" id="{00000000-0008-0000-0300-0000D70C0000}"/>
            </a:ext>
          </a:extLst>
        </xdr:cNvPr>
        <xdr:cNvSpPr>
          <a:spLocks noChangeShapeType="1"/>
        </xdr:cNvSpPr>
      </xdr:nvSpPr>
      <xdr:spPr bwMode="auto">
        <a:xfrm>
          <a:off x="3533775" y="2876550"/>
          <a:ext cx="12763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190500</xdr:colOff>
      <xdr:row>11</xdr:row>
      <xdr:rowOff>66675</xdr:rowOff>
    </xdr:from>
    <xdr:to>
      <xdr:col>11</xdr:col>
      <xdr:colOff>190500</xdr:colOff>
      <xdr:row>12</xdr:row>
      <xdr:rowOff>142875</xdr:rowOff>
    </xdr:to>
    <xdr:sp macro="" textlink="">
      <xdr:nvSpPr>
        <xdr:cNvPr id="3288" name="Line 13">
          <a:extLst>
            <a:ext uri="{FF2B5EF4-FFF2-40B4-BE49-F238E27FC236}">
              <a16:creationId xmlns:a16="http://schemas.microsoft.com/office/drawing/2014/main" xmlns="" id="{00000000-0008-0000-0300-0000D80C0000}"/>
            </a:ext>
          </a:extLst>
        </xdr:cNvPr>
        <xdr:cNvSpPr>
          <a:spLocks noChangeShapeType="1"/>
        </xdr:cNvSpPr>
      </xdr:nvSpPr>
      <xdr:spPr bwMode="auto">
        <a:xfrm>
          <a:off x="4962525" y="1809750"/>
          <a:ext cx="0" cy="238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19050</xdr:colOff>
      <xdr:row>5</xdr:row>
      <xdr:rowOff>57150</xdr:rowOff>
    </xdr:from>
    <xdr:to>
      <xdr:col>16</xdr:col>
      <xdr:colOff>19050</xdr:colOff>
      <xdr:row>12</xdr:row>
      <xdr:rowOff>152400</xdr:rowOff>
    </xdr:to>
    <xdr:sp macro="" textlink="">
      <xdr:nvSpPr>
        <xdr:cNvPr id="3289" name="Line 14">
          <a:extLst>
            <a:ext uri="{FF2B5EF4-FFF2-40B4-BE49-F238E27FC236}">
              <a16:creationId xmlns:a16="http://schemas.microsoft.com/office/drawing/2014/main" xmlns="" id="{00000000-0008-0000-0300-0000D90C0000}"/>
            </a:ext>
          </a:extLst>
        </xdr:cNvPr>
        <xdr:cNvSpPr>
          <a:spLocks noChangeShapeType="1"/>
        </xdr:cNvSpPr>
      </xdr:nvSpPr>
      <xdr:spPr bwMode="auto">
        <a:xfrm flipV="1">
          <a:off x="5886450" y="828675"/>
          <a:ext cx="0" cy="12287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19050</xdr:colOff>
      <xdr:row>5</xdr:row>
      <xdr:rowOff>57150</xdr:rowOff>
    </xdr:from>
    <xdr:to>
      <xdr:col>17</xdr:col>
      <xdr:colOff>19050</xdr:colOff>
      <xdr:row>16</xdr:row>
      <xdr:rowOff>133350</xdr:rowOff>
    </xdr:to>
    <xdr:sp macro="" textlink="">
      <xdr:nvSpPr>
        <xdr:cNvPr id="3290" name="Line 15">
          <a:extLst>
            <a:ext uri="{FF2B5EF4-FFF2-40B4-BE49-F238E27FC236}">
              <a16:creationId xmlns:a16="http://schemas.microsoft.com/office/drawing/2014/main" xmlns="" id="{00000000-0008-0000-0300-0000DA0C0000}"/>
            </a:ext>
          </a:extLst>
        </xdr:cNvPr>
        <xdr:cNvSpPr>
          <a:spLocks noChangeShapeType="1"/>
        </xdr:cNvSpPr>
      </xdr:nvSpPr>
      <xdr:spPr bwMode="auto">
        <a:xfrm flipV="1">
          <a:off x="6105525" y="828675"/>
          <a:ext cx="0" cy="1857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28575</xdr:colOff>
      <xdr:row>18</xdr:row>
      <xdr:rowOff>0</xdr:rowOff>
    </xdr:from>
    <xdr:to>
      <xdr:col>15</xdr:col>
      <xdr:colOff>57150</xdr:colOff>
      <xdr:row>18</xdr:row>
      <xdr:rowOff>0</xdr:rowOff>
    </xdr:to>
    <xdr:sp macro="" textlink="">
      <xdr:nvSpPr>
        <xdr:cNvPr id="3291" name="Line 16">
          <a:extLst>
            <a:ext uri="{FF2B5EF4-FFF2-40B4-BE49-F238E27FC236}">
              <a16:creationId xmlns:a16="http://schemas.microsoft.com/office/drawing/2014/main" xmlns="" id="{00000000-0008-0000-0300-0000DB0C0000}"/>
            </a:ext>
          </a:extLst>
        </xdr:cNvPr>
        <xdr:cNvSpPr>
          <a:spLocks noChangeShapeType="1"/>
        </xdr:cNvSpPr>
      </xdr:nvSpPr>
      <xdr:spPr bwMode="auto">
        <a:xfrm>
          <a:off x="4800600" y="2876550"/>
          <a:ext cx="904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00"/>
  <sheetViews>
    <sheetView showGridLines="0" workbookViewId="0">
      <pane ySplit="1" topLeftCell="A2" activePane="bottomLeft" state="frozen"/>
      <selection activeCell="A2" sqref="A2"/>
      <selection pane="bottomLeft" activeCell="A2" sqref="A2"/>
    </sheetView>
  </sheetViews>
  <sheetFormatPr defaultColWidth="0" defaultRowHeight="12.75" x14ac:dyDescent="0.2"/>
  <cols>
    <col min="1" max="1" width="26" bestFit="1" customWidth="1"/>
    <col min="2" max="2" width="9.140625" customWidth="1"/>
    <col min="3" max="3" width="2.140625" customWidth="1"/>
  </cols>
  <sheetData>
    <row r="1" spans="1:2" x14ac:dyDescent="0.2">
      <c r="A1" s="6" t="s">
        <v>25</v>
      </c>
      <c r="B1" s="6" t="s">
        <v>425</v>
      </c>
    </row>
    <row r="2" spans="1:2" x14ac:dyDescent="0.2">
      <c r="A2" s="7" t="s">
        <v>26</v>
      </c>
      <c r="B2" s="4" t="s">
        <v>8</v>
      </c>
    </row>
    <row r="3" spans="1:2" x14ac:dyDescent="0.2">
      <c r="A3" s="7" t="s">
        <v>27</v>
      </c>
      <c r="B3" s="4" t="s">
        <v>9</v>
      </c>
    </row>
    <row r="4" spans="1:2" x14ac:dyDescent="0.2">
      <c r="A4" s="7" t="s">
        <v>28</v>
      </c>
      <c r="B4" s="4" t="s">
        <v>9</v>
      </c>
    </row>
    <row r="5" spans="1:2" x14ac:dyDescent="0.2">
      <c r="A5" s="7" t="s">
        <v>29</v>
      </c>
      <c r="B5" s="4" t="s">
        <v>9</v>
      </c>
    </row>
    <row r="6" spans="1:2" x14ac:dyDescent="0.2">
      <c r="A6" s="7" t="s">
        <v>30</v>
      </c>
      <c r="B6" s="4" t="s">
        <v>6</v>
      </c>
    </row>
    <row r="7" spans="1:2" x14ac:dyDescent="0.2">
      <c r="A7" s="7" t="s">
        <v>31</v>
      </c>
      <c r="B7" s="4" t="s">
        <v>16</v>
      </c>
    </row>
    <row r="8" spans="1:2" x14ac:dyDescent="0.2">
      <c r="A8" s="7" t="s">
        <v>32</v>
      </c>
      <c r="B8" s="4" t="s">
        <v>14</v>
      </c>
    </row>
    <row r="9" spans="1:2" x14ac:dyDescent="0.2">
      <c r="A9" s="7" t="s">
        <v>33</v>
      </c>
      <c r="B9" s="4" t="s">
        <v>16</v>
      </c>
    </row>
    <row r="10" spans="1:2" x14ac:dyDescent="0.2">
      <c r="A10" s="7" t="s">
        <v>34</v>
      </c>
      <c r="B10" s="4" t="s">
        <v>16</v>
      </c>
    </row>
    <row r="11" spans="1:2" x14ac:dyDescent="0.2">
      <c r="A11" s="7" t="s">
        <v>35</v>
      </c>
      <c r="B11" s="4" t="s">
        <v>12</v>
      </c>
    </row>
    <row r="12" spans="1:2" x14ac:dyDescent="0.2">
      <c r="A12" s="7" t="s">
        <v>36</v>
      </c>
      <c r="B12" s="4" t="s">
        <v>14</v>
      </c>
    </row>
    <row r="13" spans="1:2" x14ac:dyDescent="0.2">
      <c r="A13" s="7" t="s">
        <v>37</v>
      </c>
      <c r="B13" s="4" t="s">
        <v>10</v>
      </c>
    </row>
    <row r="14" spans="1:2" x14ac:dyDescent="0.2">
      <c r="A14" s="7" t="s">
        <v>38</v>
      </c>
      <c r="B14" s="4" t="s">
        <v>7</v>
      </c>
    </row>
    <row r="15" spans="1:2" x14ac:dyDescent="0.2">
      <c r="A15" s="7" t="s">
        <v>39</v>
      </c>
      <c r="B15" s="4" t="s">
        <v>8</v>
      </c>
    </row>
    <row r="16" spans="1:2" x14ac:dyDescent="0.2">
      <c r="A16" s="7" t="s">
        <v>40</v>
      </c>
      <c r="B16" s="4" t="s">
        <v>13</v>
      </c>
    </row>
    <row r="17" spans="1:2" x14ac:dyDescent="0.2">
      <c r="A17" s="7" t="s">
        <v>41</v>
      </c>
      <c r="B17" s="4" t="s">
        <v>9</v>
      </c>
    </row>
    <row r="18" spans="1:2" x14ac:dyDescent="0.2">
      <c r="A18" s="7" t="s">
        <v>42</v>
      </c>
      <c r="B18" s="4" t="s">
        <v>17</v>
      </c>
    </row>
    <row r="19" spans="1:2" x14ac:dyDescent="0.2">
      <c r="A19" s="7" t="s">
        <v>43</v>
      </c>
      <c r="B19" s="4" t="s">
        <v>5</v>
      </c>
    </row>
    <row r="20" spans="1:2" x14ac:dyDescent="0.2">
      <c r="A20" s="7" t="s">
        <v>44</v>
      </c>
      <c r="B20" s="4" t="s">
        <v>5</v>
      </c>
    </row>
    <row r="21" spans="1:2" x14ac:dyDescent="0.2">
      <c r="A21" s="7" t="s">
        <v>45</v>
      </c>
      <c r="B21" s="4" t="s">
        <v>15</v>
      </c>
    </row>
    <row r="22" spans="1:2" x14ac:dyDescent="0.2">
      <c r="A22" s="7" t="s">
        <v>46</v>
      </c>
      <c r="B22" s="4" t="s">
        <v>5</v>
      </c>
    </row>
    <row r="23" spans="1:2" x14ac:dyDescent="0.2">
      <c r="A23" s="7" t="s">
        <v>47</v>
      </c>
      <c r="B23" s="4" t="s">
        <v>6</v>
      </c>
    </row>
    <row r="24" spans="1:2" x14ac:dyDescent="0.2">
      <c r="A24" s="7" t="s">
        <v>48</v>
      </c>
      <c r="B24" s="4" t="s">
        <v>9</v>
      </c>
    </row>
    <row r="25" spans="1:2" x14ac:dyDescent="0.2">
      <c r="A25" s="7" t="s">
        <v>49</v>
      </c>
      <c r="B25" s="4" t="s">
        <v>5</v>
      </c>
    </row>
    <row r="26" spans="1:2" x14ac:dyDescent="0.2">
      <c r="A26" s="7" t="s">
        <v>50</v>
      </c>
      <c r="B26" s="4" t="s">
        <v>12</v>
      </c>
    </row>
    <row r="27" spans="1:2" x14ac:dyDescent="0.2">
      <c r="A27" s="7" t="s">
        <v>51</v>
      </c>
      <c r="B27" s="4" t="s">
        <v>7</v>
      </c>
    </row>
    <row r="28" spans="1:2" x14ac:dyDescent="0.2">
      <c r="A28" s="7" t="s">
        <v>52</v>
      </c>
      <c r="B28" s="4" t="s">
        <v>13</v>
      </c>
    </row>
    <row r="29" spans="1:2" x14ac:dyDescent="0.2">
      <c r="A29" s="7" t="s">
        <v>53</v>
      </c>
      <c r="B29" s="4" t="s">
        <v>13</v>
      </c>
    </row>
    <row r="30" spans="1:2" x14ac:dyDescent="0.2">
      <c r="A30" s="7" t="s">
        <v>54</v>
      </c>
      <c r="B30" s="4" t="s">
        <v>9</v>
      </c>
    </row>
    <row r="31" spans="1:2" x14ac:dyDescent="0.2">
      <c r="A31" s="7" t="s">
        <v>55</v>
      </c>
      <c r="B31" s="4" t="s">
        <v>8</v>
      </c>
    </row>
    <row r="32" spans="1:2" x14ac:dyDescent="0.2">
      <c r="A32" s="7" t="s">
        <v>56</v>
      </c>
      <c r="B32" s="4" t="s">
        <v>6</v>
      </c>
    </row>
    <row r="33" spans="1:2" x14ac:dyDescent="0.2">
      <c r="A33" s="7" t="s">
        <v>57</v>
      </c>
      <c r="B33" s="4" t="s">
        <v>8</v>
      </c>
    </row>
    <row r="34" spans="1:2" x14ac:dyDescent="0.2">
      <c r="A34" s="7" t="s">
        <v>58</v>
      </c>
      <c r="B34" s="4" t="s">
        <v>10</v>
      </c>
    </row>
    <row r="35" spans="1:2" x14ac:dyDescent="0.2">
      <c r="A35" s="7" t="s">
        <v>59</v>
      </c>
      <c r="B35" s="4" t="s">
        <v>10</v>
      </c>
    </row>
    <row r="36" spans="1:2" x14ac:dyDescent="0.2">
      <c r="A36" s="7" t="s">
        <v>60</v>
      </c>
      <c r="B36" s="4" t="s">
        <v>12</v>
      </c>
    </row>
    <row r="37" spans="1:2" x14ac:dyDescent="0.2">
      <c r="A37" s="7" t="s">
        <v>61</v>
      </c>
      <c r="B37" s="4" t="s">
        <v>17</v>
      </c>
    </row>
    <row r="38" spans="1:2" x14ac:dyDescent="0.2">
      <c r="A38" s="7" t="s">
        <v>62</v>
      </c>
      <c r="B38" s="4" t="s">
        <v>6</v>
      </c>
    </row>
    <row r="39" spans="1:2" x14ac:dyDescent="0.2">
      <c r="A39" s="7" t="s">
        <v>63</v>
      </c>
      <c r="B39" s="4" t="s">
        <v>10</v>
      </c>
    </row>
    <row r="40" spans="1:2" x14ac:dyDescent="0.2">
      <c r="A40" s="7" t="s">
        <v>64</v>
      </c>
      <c r="B40" s="4" t="s">
        <v>11</v>
      </c>
    </row>
    <row r="41" spans="1:2" x14ac:dyDescent="0.2">
      <c r="A41" s="7" t="s">
        <v>65</v>
      </c>
      <c r="B41" s="4" t="s">
        <v>7</v>
      </c>
    </row>
    <row r="42" spans="1:2" x14ac:dyDescent="0.2">
      <c r="A42" s="7" t="s">
        <v>66</v>
      </c>
      <c r="B42" s="4" t="s">
        <v>9</v>
      </c>
    </row>
    <row r="43" spans="1:2" x14ac:dyDescent="0.2">
      <c r="A43" s="7" t="s">
        <v>67</v>
      </c>
      <c r="B43" s="4" t="s">
        <v>10</v>
      </c>
    </row>
    <row r="44" spans="1:2" x14ac:dyDescent="0.2">
      <c r="A44" s="7" t="s">
        <v>68</v>
      </c>
      <c r="B44" s="4" t="s">
        <v>5</v>
      </c>
    </row>
    <row r="45" spans="1:2" x14ac:dyDescent="0.2">
      <c r="A45" s="7" t="s">
        <v>69</v>
      </c>
      <c r="B45" s="4" t="s">
        <v>10</v>
      </c>
    </row>
    <row r="46" spans="1:2" x14ac:dyDescent="0.2">
      <c r="A46" s="7" t="s">
        <v>70</v>
      </c>
      <c r="B46" s="4" t="s">
        <v>5</v>
      </c>
    </row>
    <row r="47" spans="1:2" x14ac:dyDescent="0.2">
      <c r="A47" s="7" t="s">
        <v>71</v>
      </c>
      <c r="B47" s="4" t="s">
        <v>7</v>
      </c>
    </row>
    <row r="48" spans="1:2" x14ac:dyDescent="0.2">
      <c r="A48" s="7" t="s">
        <v>72</v>
      </c>
      <c r="B48" s="4" t="s">
        <v>16</v>
      </c>
    </row>
    <row r="49" spans="1:2" x14ac:dyDescent="0.2">
      <c r="A49" s="7" t="s">
        <v>73</v>
      </c>
      <c r="B49" s="4" t="s">
        <v>12</v>
      </c>
    </row>
    <row r="50" spans="1:2" x14ac:dyDescent="0.2">
      <c r="A50" s="7" t="s">
        <v>74</v>
      </c>
      <c r="B50" s="4" t="s">
        <v>7</v>
      </c>
    </row>
    <row r="51" spans="1:2" x14ac:dyDescent="0.2">
      <c r="A51" s="7" t="s">
        <v>75</v>
      </c>
      <c r="B51" s="4" t="s">
        <v>16</v>
      </c>
    </row>
    <row r="52" spans="1:2" x14ac:dyDescent="0.2">
      <c r="A52" s="7" t="s">
        <v>76</v>
      </c>
      <c r="B52" s="4" t="s">
        <v>5</v>
      </c>
    </row>
    <row r="53" spans="1:2" x14ac:dyDescent="0.2">
      <c r="A53" s="7" t="s">
        <v>77</v>
      </c>
      <c r="B53" s="4" t="s">
        <v>8</v>
      </c>
    </row>
    <row r="54" spans="1:2" x14ac:dyDescent="0.2">
      <c r="A54" s="7" t="s">
        <v>78</v>
      </c>
      <c r="B54" s="4" t="s">
        <v>12</v>
      </c>
    </row>
    <row r="55" spans="1:2" x14ac:dyDescent="0.2">
      <c r="A55" s="7" t="s">
        <v>79</v>
      </c>
      <c r="B55" s="4" t="s">
        <v>5</v>
      </c>
    </row>
    <row r="56" spans="1:2" x14ac:dyDescent="0.2">
      <c r="A56" s="7" t="s">
        <v>80</v>
      </c>
      <c r="B56" s="4" t="s">
        <v>6</v>
      </c>
    </row>
    <row r="57" spans="1:2" x14ac:dyDescent="0.2">
      <c r="A57" s="7" t="s">
        <v>81</v>
      </c>
      <c r="B57" s="4" t="s">
        <v>11</v>
      </c>
    </row>
    <row r="58" spans="1:2" x14ac:dyDescent="0.2">
      <c r="A58" s="7" t="s">
        <v>82</v>
      </c>
      <c r="B58" s="4" t="s">
        <v>9</v>
      </c>
    </row>
    <row r="59" spans="1:2" x14ac:dyDescent="0.2">
      <c r="A59" s="7" t="s">
        <v>83</v>
      </c>
      <c r="B59" s="4" t="s">
        <v>7</v>
      </c>
    </row>
    <row r="60" spans="1:2" x14ac:dyDescent="0.2">
      <c r="A60" s="7" t="s">
        <v>84</v>
      </c>
      <c r="B60" s="4" t="s">
        <v>9</v>
      </c>
    </row>
    <row r="61" spans="1:2" x14ac:dyDescent="0.2">
      <c r="A61" s="7" t="s">
        <v>85</v>
      </c>
      <c r="B61" s="4" t="s">
        <v>9</v>
      </c>
    </row>
    <row r="62" spans="1:2" x14ac:dyDescent="0.2">
      <c r="A62" s="7" t="s">
        <v>86</v>
      </c>
      <c r="B62" s="4" t="s">
        <v>9</v>
      </c>
    </row>
    <row r="63" spans="1:2" x14ac:dyDescent="0.2">
      <c r="A63" s="7" t="s">
        <v>87</v>
      </c>
      <c r="B63" s="4" t="s">
        <v>6</v>
      </c>
    </row>
    <row r="64" spans="1:2" x14ac:dyDescent="0.2">
      <c r="A64" s="7" t="s">
        <v>88</v>
      </c>
      <c r="B64" s="4" t="s">
        <v>11</v>
      </c>
    </row>
    <row r="65" spans="1:2" x14ac:dyDescent="0.2">
      <c r="A65" s="7" t="s">
        <v>89</v>
      </c>
      <c r="B65" s="4" t="s">
        <v>11</v>
      </c>
    </row>
    <row r="66" spans="1:2" x14ac:dyDescent="0.2">
      <c r="A66" s="7" t="s">
        <v>90</v>
      </c>
      <c r="B66" s="4" t="s">
        <v>11</v>
      </c>
    </row>
    <row r="67" spans="1:2" x14ac:dyDescent="0.2">
      <c r="A67" s="7" t="s">
        <v>91</v>
      </c>
      <c r="B67" s="4" t="s">
        <v>10</v>
      </c>
    </row>
    <row r="68" spans="1:2" x14ac:dyDescent="0.2">
      <c r="A68" s="7" t="s">
        <v>92</v>
      </c>
      <c r="B68" s="4" t="s">
        <v>7</v>
      </c>
    </row>
    <row r="69" spans="1:2" x14ac:dyDescent="0.2">
      <c r="A69" s="7" t="s">
        <v>93</v>
      </c>
      <c r="B69" s="4" t="s">
        <v>15</v>
      </c>
    </row>
    <row r="70" spans="1:2" x14ac:dyDescent="0.2">
      <c r="A70" s="7" t="s">
        <v>94</v>
      </c>
      <c r="B70" s="4" t="s">
        <v>8</v>
      </c>
    </row>
    <row r="71" spans="1:2" x14ac:dyDescent="0.2">
      <c r="A71" s="7" t="s">
        <v>95</v>
      </c>
      <c r="B71" s="4" t="s">
        <v>7</v>
      </c>
    </row>
    <row r="72" spans="1:2" x14ac:dyDescent="0.2">
      <c r="A72" s="7" t="s">
        <v>96</v>
      </c>
      <c r="B72" s="4" t="s">
        <v>15</v>
      </c>
    </row>
    <row r="73" spans="1:2" x14ac:dyDescent="0.2">
      <c r="A73" s="7" t="s">
        <v>97</v>
      </c>
      <c r="B73" s="4" t="s">
        <v>7</v>
      </c>
    </row>
    <row r="74" spans="1:2" x14ac:dyDescent="0.2">
      <c r="A74" s="7" t="s">
        <v>98</v>
      </c>
      <c r="B74" s="4" t="s">
        <v>12</v>
      </c>
    </row>
    <row r="75" spans="1:2" x14ac:dyDescent="0.2">
      <c r="A75" s="7" t="s">
        <v>99</v>
      </c>
      <c r="B75" s="4" t="s">
        <v>9</v>
      </c>
    </row>
    <row r="76" spans="1:2" x14ac:dyDescent="0.2">
      <c r="A76" s="7" t="s">
        <v>100</v>
      </c>
      <c r="B76" s="4" t="s">
        <v>7</v>
      </c>
    </row>
    <row r="77" spans="1:2" x14ac:dyDescent="0.2">
      <c r="A77" s="7" t="s">
        <v>101</v>
      </c>
      <c r="B77" s="4" t="s">
        <v>10</v>
      </c>
    </row>
    <row r="78" spans="1:2" x14ac:dyDescent="0.2">
      <c r="A78" s="7" t="s">
        <v>102</v>
      </c>
      <c r="B78" s="4" t="s">
        <v>16</v>
      </c>
    </row>
    <row r="79" spans="1:2" x14ac:dyDescent="0.2">
      <c r="A79" s="7" t="s">
        <v>103</v>
      </c>
      <c r="B79" s="4" t="s">
        <v>16</v>
      </c>
    </row>
    <row r="80" spans="1:2" x14ac:dyDescent="0.2">
      <c r="A80" s="7" t="s">
        <v>104</v>
      </c>
      <c r="B80" s="4" t="s">
        <v>10</v>
      </c>
    </row>
    <row r="81" spans="1:2" x14ac:dyDescent="0.2">
      <c r="A81" s="7" t="s">
        <v>105</v>
      </c>
      <c r="B81" s="4" t="s">
        <v>9</v>
      </c>
    </row>
    <row r="82" spans="1:2" x14ac:dyDescent="0.2">
      <c r="A82" s="7" t="s">
        <v>106</v>
      </c>
      <c r="B82" s="4" t="s">
        <v>13</v>
      </c>
    </row>
    <row r="83" spans="1:2" x14ac:dyDescent="0.2">
      <c r="A83" s="7" t="s">
        <v>107</v>
      </c>
      <c r="B83" s="4" t="s">
        <v>8</v>
      </c>
    </row>
    <row r="84" spans="1:2" x14ac:dyDescent="0.2">
      <c r="A84" s="7" t="s">
        <v>108</v>
      </c>
      <c r="B84" s="4" t="s">
        <v>8</v>
      </c>
    </row>
    <row r="85" spans="1:2" x14ac:dyDescent="0.2">
      <c r="A85" s="7" t="s">
        <v>109</v>
      </c>
      <c r="B85" s="4" t="s">
        <v>9</v>
      </c>
    </row>
    <row r="86" spans="1:2" x14ac:dyDescent="0.2">
      <c r="A86" s="7" t="s">
        <v>110</v>
      </c>
      <c r="B86" s="4" t="s">
        <v>7</v>
      </c>
    </row>
    <row r="87" spans="1:2" x14ac:dyDescent="0.2">
      <c r="A87" s="7" t="s">
        <v>111</v>
      </c>
      <c r="B87" s="4" t="s">
        <v>8</v>
      </c>
    </row>
    <row r="88" spans="1:2" x14ac:dyDescent="0.2">
      <c r="A88" s="7" t="s">
        <v>112</v>
      </c>
      <c r="B88" s="4" t="s">
        <v>17</v>
      </c>
    </row>
    <row r="89" spans="1:2" x14ac:dyDescent="0.2">
      <c r="A89" s="7" t="s">
        <v>113</v>
      </c>
      <c r="B89" s="4" t="s">
        <v>10</v>
      </c>
    </row>
    <row r="90" spans="1:2" x14ac:dyDescent="0.2">
      <c r="A90" s="7" t="s">
        <v>114</v>
      </c>
      <c r="B90" s="4" t="s">
        <v>6</v>
      </c>
    </row>
    <row r="91" spans="1:2" x14ac:dyDescent="0.2">
      <c r="A91" s="7" t="s">
        <v>115</v>
      </c>
      <c r="B91" s="4" t="s">
        <v>17</v>
      </c>
    </row>
    <row r="92" spans="1:2" x14ac:dyDescent="0.2">
      <c r="A92" s="7" t="s">
        <v>116</v>
      </c>
      <c r="B92" s="4" t="s">
        <v>10</v>
      </c>
    </row>
    <row r="93" spans="1:2" x14ac:dyDescent="0.2">
      <c r="A93" s="7" t="s">
        <v>117</v>
      </c>
      <c r="B93" s="4" t="s">
        <v>16</v>
      </c>
    </row>
    <row r="94" spans="1:2" x14ac:dyDescent="0.2">
      <c r="A94" s="7" t="s">
        <v>118</v>
      </c>
      <c r="B94" s="4" t="s">
        <v>13</v>
      </c>
    </row>
    <row r="95" spans="1:2" x14ac:dyDescent="0.2">
      <c r="A95" s="7" t="s">
        <v>119</v>
      </c>
      <c r="B95" s="4" t="s">
        <v>5</v>
      </c>
    </row>
    <row r="96" spans="1:2" x14ac:dyDescent="0.2">
      <c r="A96" s="7" t="s">
        <v>120</v>
      </c>
      <c r="B96" s="4" t="s">
        <v>9</v>
      </c>
    </row>
    <row r="97" spans="1:2" x14ac:dyDescent="0.2">
      <c r="A97" s="7" t="s">
        <v>121</v>
      </c>
      <c r="B97" s="4" t="s">
        <v>8</v>
      </c>
    </row>
    <row r="98" spans="1:2" x14ac:dyDescent="0.2">
      <c r="A98" s="7" t="s">
        <v>122</v>
      </c>
      <c r="B98" s="4" t="s">
        <v>14</v>
      </c>
    </row>
    <row r="99" spans="1:2" x14ac:dyDescent="0.2">
      <c r="A99" s="7" t="s">
        <v>123</v>
      </c>
      <c r="B99" s="4" t="s">
        <v>7</v>
      </c>
    </row>
    <row r="100" spans="1:2" x14ac:dyDescent="0.2">
      <c r="A100" s="7" t="s">
        <v>124</v>
      </c>
      <c r="B100" s="4" t="s">
        <v>7</v>
      </c>
    </row>
    <row r="101" spans="1:2" x14ac:dyDescent="0.2">
      <c r="A101" s="7" t="s">
        <v>125</v>
      </c>
      <c r="B101" s="4" t="s">
        <v>10</v>
      </c>
    </row>
    <row r="102" spans="1:2" x14ac:dyDescent="0.2">
      <c r="A102" s="7" t="s">
        <v>126</v>
      </c>
      <c r="B102" s="4" t="s">
        <v>16</v>
      </c>
    </row>
    <row r="103" spans="1:2" x14ac:dyDescent="0.2">
      <c r="A103" s="7" t="s">
        <v>127</v>
      </c>
      <c r="B103" s="4" t="s">
        <v>13</v>
      </c>
    </row>
    <row r="104" spans="1:2" x14ac:dyDescent="0.2">
      <c r="A104" s="7" t="s">
        <v>128</v>
      </c>
      <c r="B104" s="4" t="s">
        <v>9</v>
      </c>
    </row>
    <row r="105" spans="1:2" x14ac:dyDescent="0.2">
      <c r="A105" s="7" t="s">
        <v>129</v>
      </c>
      <c r="B105" s="4" t="s">
        <v>10</v>
      </c>
    </row>
    <row r="106" spans="1:2" x14ac:dyDescent="0.2">
      <c r="A106" s="7" t="s">
        <v>130</v>
      </c>
      <c r="B106" s="4" t="s">
        <v>6</v>
      </c>
    </row>
    <row r="107" spans="1:2" x14ac:dyDescent="0.2">
      <c r="A107" s="7" t="s">
        <v>131</v>
      </c>
      <c r="B107" s="4" t="s">
        <v>7</v>
      </c>
    </row>
    <row r="108" spans="1:2" x14ac:dyDescent="0.2">
      <c r="A108" s="7" t="s">
        <v>132</v>
      </c>
      <c r="B108" s="4" t="s">
        <v>16</v>
      </c>
    </row>
    <row r="109" spans="1:2" x14ac:dyDescent="0.2">
      <c r="A109" s="7" t="s">
        <v>133</v>
      </c>
      <c r="B109" s="4" t="s">
        <v>11</v>
      </c>
    </row>
    <row r="110" spans="1:2" x14ac:dyDescent="0.2">
      <c r="A110" s="7" t="s">
        <v>134</v>
      </c>
      <c r="B110" s="4" t="s">
        <v>6</v>
      </c>
    </row>
    <row r="111" spans="1:2" x14ac:dyDescent="0.2">
      <c r="A111" s="7" t="s">
        <v>135</v>
      </c>
      <c r="B111" s="4" t="s">
        <v>5</v>
      </c>
    </row>
    <row r="112" spans="1:2" x14ac:dyDescent="0.2">
      <c r="A112" s="7" t="s">
        <v>136</v>
      </c>
      <c r="B112" s="4" t="s">
        <v>9</v>
      </c>
    </row>
    <row r="113" spans="1:2" x14ac:dyDescent="0.2">
      <c r="A113" s="7" t="s">
        <v>137</v>
      </c>
      <c r="B113" s="4" t="s">
        <v>6</v>
      </c>
    </row>
    <row r="114" spans="1:2" x14ac:dyDescent="0.2">
      <c r="A114" s="7" t="s">
        <v>138</v>
      </c>
      <c r="B114" s="4" t="s">
        <v>15</v>
      </c>
    </row>
    <row r="115" spans="1:2" x14ac:dyDescent="0.2">
      <c r="A115" s="7" t="s">
        <v>139</v>
      </c>
      <c r="B115" s="4" t="s">
        <v>8</v>
      </c>
    </row>
    <row r="116" spans="1:2" x14ac:dyDescent="0.2">
      <c r="A116" s="7" t="s">
        <v>140</v>
      </c>
      <c r="B116" s="4" t="s">
        <v>10</v>
      </c>
    </row>
    <row r="117" spans="1:2" x14ac:dyDescent="0.2">
      <c r="A117" s="7" t="s">
        <v>141</v>
      </c>
      <c r="B117" s="4" t="s">
        <v>13</v>
      </c>
    </row>
    <row r="118" spans="1:2" x14ac:dyDescent="0.2">
      <c r="A118" s="7" t="s">
        <v>142</v>
      </c>
      <c r="B118" s="4" t="s">
        <v>13</v>
      </c>
    </row>
    <row r="119" spans="1:2" x14ac:dyDescent="0.2">
      <c r="A119" s="7" t="s">
        <v>143</v>
      </c>
      <c r="B119" s="4" t="s">
        <v>12</v>
      </c>
    </row>
    <row r="120" spans="1:2" x14ac:dyDescent="0.2">
      <c r="A120" s="7" t="s">
        <v>144</v>
      </c>
      <c r="B120" s="4" t="s">
        <v>13</v>
      </c>
    </row>
    <row r="121" spans="1:2" x14ac:dyDescent="0.2">
      <c r="A121" s="7" t="s">
        <v>145</v>
      </c>
      <c r="B121" s="4" t="s">
        <v>7</v>
      </c>
    </row>
    <row r="122" spans="1:2" x14ac:dyDescent="0.2">
      <c r="A122" s="7" t="s">
        <v>146</v>
      </c>
      <c r="B122" s="4" t="s">
        <v>7</v>
      </c>
    </row>
    <row r="123" spans="1:2" x14ac:dyDescent="0.2">
      <c r="A123" s="7" t="s">
        <v>147</v>
      </c>
      <c r="B123" s="4" t="s">
        <v>11</v>
      </c>
    </row>
    <row r="124" spans="1:2" x14ac:dyDescent="0.2">
      <c r="A124" s="7" t="s">
        <v>148</v>
      </c>
      <c r="B124" s="4" t="s">
        <v>16</v>
      </c>
    </row>
    <row r="125" spans="1:2" x14ac:dyDescent="0.2">
      <c r="A125" s="7" t="s">
        <v>149</v>
      </c>
      <c r="B125" s="4" t="s">
        <v>10</v>
      </c>
    </row>
    <row r="126" spans="1:2" x14ac:dyDescent="0.2">
      <c r="A126" s="7" t="s">
        <v>150</v>
      </c>
      <c r="B126" s="4" t="s">
        <v>17</v>
      </c>
    </row>
    <row r="127" spans="1:2" x14ac:dyDescent="0.2">
      <c r="A127" s="7" t="s">
        <v>151</v>
      </c>
      <c r="B127" s="4" t="s">
        <v>5</v>
      </c>
    </row>
    <row r="128" spans="1:2" x14ac:dyDescent="0.2">
      <c r="A128" s="7" t="s">
        <v>152</v>
      </c>
      <c r="B128" s="4" t="s">
        <v>6</v>
      </c>
    </row>
    <row r="129" spans="1:2" x14ac:dyDescent="0.2">
      <c r="A129" s="7" t="s">
        <v>153</v>
      </c>
      <c r="B129" s="4" t="s">
        <v>11</v>
      </c>
    </row>
    <row r="130" spans="1:2" x14ac:dyDescent="0.2">
      <c r="A130" s="7" t="s">
        <v>154</v>
      </c>
      <c r="B130" s="4" t="s">
        <v>5</v>
      </c>
    </row>
    <row r="131" spans="1:2" x14ac:dyDescent="0.2">
      <c r="A131" s="7" t="s">
        <v>155</v>
      </c>
      <c r="B131" s="4" t="s">
        <v>7</v>
      </c>
    </row>
    <row r="132" spans="1:2" x14ac:dyDescent="0.2">
      <c r="A132" s="7" t="s">
        <v>156</v>
      </c>
      <c r="B132" s="4" t="s">
        <v>14</v>
      </c>
    </row>
    <row r="133" spans="1:2" x14ac:dyDescent="0.2">
      <c r="A133" s="7" t="s">
        <v>157</v>
      </c>
      <c r="B133" s="4" t="s">
        <v>15</v>
      </c>
    </row>
    <row r="134" spans="1:2" x14ac:dyDescent="0.2">
      <c r="A134" s="7" t="s">
        <v>158</v>
      </c>
      <c r="B134" s="4" t="s">
        <v>8</v>
      </c>
    </row>
    <row r="135" spans="1:2" x14ac:dyDescent="0.2">
      <c r="A135" s="7" t="s">
        <v>159</v>
      </c>
      <c r="B135" s="4" t="s">
        <v>16</v>
      </c>
    </row>
    <row r="136" spans="1:2" x14ac:dyDescent="0.2">
      <c r="A136" s="7" t="s">
        <v>160</v>
      </c>
      <c r="B136" s="4" t="s">
        <v>12</v>
      </c>
    </row>
    <row r="137" spans="1:2" x14ac:dyDescent="0.2">
      <c r="A137" s="7" t="s">
        <v>161</v>
      </c>
      <c r="B137" s="4" t="s">
        <v>7</v>
      </c>
    </row>
    <row r="138" spans="1:2" x14ac:dyDescent="0.2">
      <c r="A138" s="7" t="s">
        <v>162</v>
      </c>
      <c r="B138" s="4" t="s">
        <v>11</v>
      </c>
    </row>
    <row r="139" spans="1:2" x14ac:dyDescent="0.2">
      <c r="A139" s="7" t="s">
        <v>163</v>
      </c>
      <c r="B139" s="4" t="s">
        <v>9</v>
      </c>
    </row>
    <row r="140" spans="1:2" x14ac:dyDescent="0.2">
      <c r="A140" s="7" t="s">
        <v>164</v>
      </c>
      <c r="B140" s="4" t="s">
        <v>9</v>
      </c>
    </row>
    <row r="141" spans="1:2" x14ac:dyDescent="0.2">
      <c r="A141" s="7" t="s">
        <v>165</v>
      </c>
      <c r="B141" s="4" t="s">
        <v>10</v>
      </c>
    </row>
    <row r="142" spans="1:2" x14ac:dyDescent="0.2">
      <c r="A142" s="7" t="s">
        <v>166</v>
      </c>
      <c r="B142" s="4" t="s">
        <v>8</v>
      </c>
    </row>
    <row r="143" spans="1:2" x14ac:dyDescent="0.2">
      <c r="A143" s="7" t="s">
        <v>167</v>
      </c>
      <c r="B143" s="4" t="s">
        <v>7</v>
      </c>
    </row>
    <row r="144" spans="1:2" x14ac:dyDescent="0.2">
      <c r="A144" s="7" t="s">
        <v>168</v>
      </c>
      <c r="B144" s="4" t="s">
        <v>12</v>
      </c>
    </row>
    <row r="145" spans="1:2" x14ac:dyDescent="0.2">
      <c r="A145" s="7" t="s">
        <v>169</v>
      </c>
      <c r="B145" s="4" t="s">
        <v>16</v>
      </c>
    </row>
    <row r="146" spans="1:2" x14ac:dyDescent="0.2">
      <c r="A146" s="7" t="s">
        <v>170</v>
      </c>
      <c r="B146" s="4" t="s">
        <v>13</v>
      </c>
    </row>
    <row r="147" spans="1:2" x14ac:dyDescent="0.2">
      <c r="A147" s="7" t="s">
        <v>171</v>
      </c>
      <c r="B147" s="4" t="s">
        <v>7</v>
      </c>
    </row>
    <row r="148" spans="1:2" x14ac:dyDescent="0.2">
      <c r="A148" s="7" t="s">
        <v>172</v>
      </c>
      <c r="B148" s="4" t="s">
        <v>15</v>
      </c>
    </row>
    <row r="149" spans="1:2" x14ac:dyDescent="0.2">
      <c r="A149" s="7" t="s">
        <v>173</v>
      </c>
      <c r="B149" s="4" t="s">
        <v>15</v>
      </c>
    </row>
    <row r="150" spans="1:2" x14ac:dyDescent="0.2">
      <c r="A150" s="7" t="s">
        <v>174</v>
      </c>
      <c r="B150" s="4" t="s">
        <v>11</v>
      </c>
    </row>
    <row r="151" spans="1:2" x14ac:dyDescent="0.2">
      <c r="A151" s="7" t="s">
        <v>175</v>
      </c>
      <c r="B151" s="4" t="s">
        <v>13</v>
      </c>
    </row>
    <row r="152" spans="1:2" x14ac:dyDescent="0.2">
      <c r="A152" s="7" t="s">
        <v>176</v>
      </c>
      <c r="B152" s="4" t="s">
        <v>16</v>
      </c>
    </row>
    <row r="153" spans="1:2" x14ac:dyDescent="0.2">
      <c r="A153" s="7" t="s">
        <v>177</v>
      </c>
      <c r="B153" s="4" t="s">
        <v>15</v>
      </c>
    </row>
    <row r="154" spans="1:2" x14ac:dyDescent="0.2">
      <c r="A154" s="7" t="s">
        <v>178</v>
      </c>
      <c r="B154" s="4" t="s">
        <v>16</v>
      </c>
    </row>
    <row r="155" spans="1:2" x14ac:dyDescent="0.2">
      <c r="A155" s="7" t="s">
        <v>179</v>
      </c>
      <c r="B155" s="4" t="s">
        <v>7</v>
      </c>
    </row>
    <row r="156" spans="1:2" x14ac:dyDescent="0.2">
      <c r="A156" s="7" t="s">
        <v>180</v>
      </c>
      <c r="B156" s="4" t="s">
        <v>11</v>
      </c>
    </row>
    <row r="157" spans="1:2" x14ac:dyDescent="0.2">
      <c r="A157" s="7" t="s">
        <v>181</v>
      </c>
      <c r="B157" s="4" t="s">
        <v>6</v>
      </c>
    </row>
    <row r="158" spans="1:2" x14ac:dyDescent="0.2">
      <c r="A158" s="7" t="s">
        <v>182</v>
      </c>
      <c r="B158" s="4" t="s">
        <v>13</v>
      </c>
    </row>
    <row r="159" spans="1:2" x14ac:dyDescent="0.2">
      <c r="A159" s="7" t="s">
        <v>183</v>
      </c>
      <c r="B159" s="4" t="s">
        <v>7</v>
      </c>
    </row>
    <row r="160" spans="1:2" x14ac:dyDescent="0.2">
      <c r="A160" s="7" t="s">
        <v>184</v>
      </c>
      <c r="B160" s="4" t="s">
        <v>8</v>
      </c>
    </row>
    <row r="161" spans="1:2" x14ac:dyDescent="0.2">
      <c r="A161" s="7" t="s">
        <v>185</v>
      </c>
      <c r="B161" s="4" t="s">
        <v>13</v>
      </c>
    </row>
    <row r="162" spans="1:2" x14ac:dyDescent="0.2">
      <c r="A162" s="7" t="s">
        <v>186</v>
      </c>
      <c r="B162" s="4" t="s">
        <v>10</v>
      </c>
    </row>
    <row r="163" spans="1:2" x14ac:dyDescent="0.2">
      <c r="A163" s="7" t="s">
        <v>187</v>
      </c>
      <c r="B163" s="4" t="s">
        <v>9</v>
      </c>
    </row>
    <row r="164" spans="1:2" x14ac:dyDescent="0.2">
      <c r="A164" s="7" t="s">
        <v>188</v>
      </c>
      <c r="B164" s="4" t="s">
        <v>14</v>
      </c>
    </row>
    <row r="165" spans="1:2" x14ac:dyDescent="0.2">
      <c r="A165" s="7" t="s">
        <v>189</v>
      </c>
      <c r="B165" s="4" t="s">
        <v>15</v>
      </c>
    </row>
    <row r="166" spans="1:2" x14ac:dyDescent="0.2">
      <c r="A166" s="7" t="s">
        <v>190</v>
      </c>
      <c r="B166" s="4" t="s">
        <v>5</v>
      </c>
    </row>
    <row r="167" spans="1:2" x14ac:dyDescent="0.2">
      <c r="A167" s="7" t="s">
        <v>191</v>
      </c>
      <c r="B167" s="4" t="s">
        <v>16</v>
      </c>
    </row>
    <row r="168" spans="1:2" x14ac:dyDescent="0.2">
      <c r="A168" s="7" t="s">
        <v>192</v>
      </c>
      <c r="B168" s="4" t="s">
        <v>13</v>
      </c>
    </row>
    <row r="169" spans="1:2" x14ac:dyDescent="0.2">
      <c r="A169" s="7" t="s">
        <v>193</v>
      </c>
      <c r="B169" s="4" t="s">
        <v>8</v>
      </c>
    </row>
    <row r="170" spans="1:2" x14ac:dyDescent="0.2">
      <c r="A170" s="7" t="s">
        <v>194</v>
      </c>
      <c r="B170" s="4" t="s">
        <v>8</v>
      </c>
    </row>
    <row r="171" spans="1:2" x14ac:dyDescent="0.2">
      <c r="A171" s="7" t="s">
        <v>195</v>
      </c>
      <c r="B171" s="4" t="s">
        <v>12</v>
      </c>
    </row>
    <row r="172" spans="1:2" x14ac:dyDescent="0.2">
      <c r="A172" s="7" t="s">
        <v>196</v>
      </c>
      <c r="B172" s="4" t="s">
        <v>15</v>
      </c>
    </row>
    <row r="173" spans="1:2" x14ac:dyDescent="0.2">
      <c r="A173" s="7" t="s">
        <v>197</v>
      </c>
      <c r="B173" s="4" t="s">
        <v>5</v>
      </c>
    </row>
    <row r="174" spans="1:2" x14ac:dyDescent="0.2">
      <c r="A174" s="7" t="s">
        <v>198</v>
      </c>
      <c r="B174" s="4" t="s">
        <v>6</v>
      </c>
    </row>
    <row r="175" spans="1:2" x14ac:dyDescent="0.2">
      <c r="A175" s="7" t="s">
        <v>199</v>
      </c>
      <c r="B175" s="4" t="s">
        <v>8</v>
      </c>
    </row>
    <row r="176" spans="1:2" x14ac:dyDescent="0.2">
      <c r="A176" s="7" t="s">
        <v>200</v>
      </c>
      <c r="B176" s="4" t="s">
        <v>16</v>
      </c>
    </row>
    <row r="177" spans="1:2" x14ac:dyDescent="0.2">
      <c r="A177" s="7" t="s">
        <v>201</v>
      </c>
      <c r="B177" s="4" t="s">
        <v>5</v>
      </c>
    </row>
    <row r="178" spans="1:2" x14ac:dyDescent="0.2">
      <c r="A178" s="7" t="s">
        <v>202</v>
      </c>
      <c r="B178" s="4" t="s">
        <v>13</v>
      </c>
    </row>
    <row r="179" spans="1:2" x14ac:dyDescent="0.2">
      <c r="A179" s="7" t="s">
        <v>203</v>
      </c>
      <c r="B179" s="4" t="s">
        <v>12</v>
      </c>
    </row>
    <row r="180" spans="1:2" x14ac:dyDescent="0.2">
      <c r="A180" s="7" t="s">
        <v>204</v>
      </c>
      <c r="B180" s="4" t="s">
        <v>7</v>
      </c>
    </row>
    <row r="181" spans="1:2" x14ac:dyDescent="0.2">
      <c r="A181" s="7" t="s">
        <v>205</v>
      </c>
      <c r="B181" s="4" t="s">
        <v>8</v>
      </c>
    </row>
    <row r="182" spans="1:2" x14ac:dyDescent="0.2">
      <c r="A182" s="7" t="s">
        <v>206</v>
      </c>
      <c r="B182" s="4" t="s">
        <v>8</v>
      </c>
    </row>
    <row r="183" spans="1:2" x14ac:dyDescent="0.2">
      <c r="A183" s="7" t="s">
        <v>207</v>
      </c>
      <c r="B183" s="4" t="s">
        <v>6</v>
      </c>
    </row>
    <row r="184" spans="1:2" x14ac:dyDescent="0.2">
      <c r="A184" s="7" t="s">
        <v>208</v>
      </c>
      <c r="B184" s="4" t="s">
        <v>16</v>
      </c>
    </row>
    <row r="185" spans="1:2" x14ac:dyDescent="0.2">
      <c r="A185" s="7" t="s">
        <v>209</v>
      </c>
      <c r="B185" s="4" t="s">
        <v>5</v>
      </c>
    </row>
    <row r="186" spans="1:2" x14ac:dyDescent="0.2">
      <c r="A186" s="7" t="s">
        <v>210</v>
      </c>
      <c r="B186" s="4" t="s">
        <v>9</v>
      </c>
    </row>
    <row r="187" spans="1:2" x14ac:dyDescent="0.2">
      <c r="A187" s="7" t="s">
        <v>211</v>
      </c>
      <c r="B187" s="4" t="s">
        <v>11</v>
      </c>
    </row>
    <row r="188" spans="1:2" x14ac:dyDescent="0.2">
      <c r="A188" s="7" t="s">
        <v>212</v>
      </c>
      <c r="B188" s="4" t="s">
        <v>11</v>
      </c>
    </row>
    <row r="189" spans="1:2" x14ac:dyDescent="0.2">
      <c r="A189" s="7" t="s">
        <v>213</v>
      </c>
      <c r="B189" s="4" t="s">
        <v>8</v>
      </c>
    </row>
    <row r="190" spans="1:2" x14ac:dyDescent="0.2">
      <c r="A190" s="7" t="s">
        <v>214</v>
      </c>
      <c r="B190" s="4" t="s">
        <v>5</v>
      </c>
    </row>
    <row r="191" spans="1:2" x14ac:dyDescent="0.2">
      <c r="A191" s="7" t="s">
        <v>215</v>
      </c>
      <c r="B191" s="4" t="s">
        <v>7</v>
      </c>
    </row>
    <row r="192" spans="1:2" x14ac:dyDescent="0.2">
      <c r="A192" s="7" t="s">
        <v>216</v>
      </c>
      <c r="B192" s="4" t="s">
        <v>14</v>
      </c>
    </row>
    <row r="193" spans="1:2" x14ac:dyDescent="0.2">
      <c r="A193" s="7" t="s">
        <v>217</v>
      </c>
      <c r="B193" s="4" t="s">
        <v>13</v>
      </c>
    </row>
    <row r="194" spans="1:2" x14ac:dyDescent="0.2">
      <c r="A194" s="7" t="s">
        <v>218</v>
      </c>
      <c r="B194" s="4" t="s">
        <v>12</v>
      </c>
    </row>
    <row r="195" spans="1:2" x14ac:dyDescent="0.2">
      <c r="A195" s="7" t="s">
        <v>219</v>
      </c>
      <c r="B195" s="4" t="s">
        <v>6</v>
      </c>
    </row>
    <row r="196" spans="1:2" x14ac:dyDescent="0.2">
      <c r="A196" s="7" t="s">
        <v>220</v>
      </c>
      <c r="B196" s="4" t="s">
        <v>5</v>
      </c>
    </row>
    <row r="197" spans="1:2" x14ac:dyDescent="0.2">
      <c r="A197" s="7" t="s">
        <v>221</v>
      </c>
      <c r="B197" s="4" t="s">
        <v>12</v>
      </c>
    </row>
    <row r="198" spans="1:2" x14ac:dyDescent="0.2">
      <c r="A198" s="7" t="s">
        <v>222</v>
      </c>
      <c r="B198" s="4" t="s">
        <v>17</v>
      </c>
    </row>
    <row r="199" spans="1:2" x14ac:dyDescent="0.2">
      <c r="A199" s="7" t="s">
        <v>223</v>
      </c>
      <c r="B199" s="4" t="s">
        <v>6</v>
      </c>
    </row>
    <row r="200" spans="1:2" x14ac:dyDescent="0.2">
      <c r="A200" s="7" t="s">
        <v>224</v>
      </c>
      <c r="B200" s="4" t="s">
        <v>13</v>
      </c>
    </row>
    <row r="201" spans="1:2" x14ac:dyDescent="0.2">
      <c r="A201" s="7" t="s">
        <v>225</v>
      </c>
      <c r="B201" s="4" t="s">
        <v>13</v>
      </c>
    </row>
    <row r="202" spans="1:2" x14ac:dyDescent="0.2">
      <c r="A202" s="7" t="s">
        <v>226</v>
      </c>
      <c r="B202" s="4" t="s">
        <v>9</v>
      </c>
    </row>
    <row r="203" spans="1:2" x14ac:dyDescent="0.2">
      <c r="A203" s="7" t="s">
        <v>227</v>
      </c>
      <c r="B203" s="4" t="s">
        <v>10</v>
      </c>
    </row>
    <row r="204" spans="1:2" x14ac:dyDescent="0.2">
      <c r="A204" s="7" t="s">
        <v>228</v>
      </c>
      <c r="B204" s="4" t="s">
        <v>10</v>
      </c>
    </row>
    <row r="205" spans="1:2" x14ac:dyDescent="0.2">
      <c r="A205" s="7" t="s">
        <v>229</v>
      </c>
      <c r="B205" s="4" t="s">
        <v>11</v>
      </c>
    </row>
    <row r="206" spans="1:2" x14ac:dyDescent="0.2">
      <c r="A206" s="7" t="s">
        <v>230</v>
      </c>
      <c r="B206" s="4" t="s">
        <v>7</v>
      </c>
    </row>
    <row r="207" spans="1:2" x14ac:dyDescent="0.2">
      <c r="A207" s="7" t="s">
        <v>231</v>
      </c>
      <c r="B207" s="4" t="s">
        <v>16</v>
      </c>
    </row>
    <row r="208" spans="1:2" x14ac:dyDescent="0.2">
      <c r="A208" s="7" t="s">
        <v>232</v>
      </c>
      <c r="B208" s="4" t="s">
        <v>13</v>
      </c>
    </row>
    <row r="209" spans="1:2" x14ac:dyDescent="0.2">
      <c r="A209" s="7" t="s">
        <v>233</v>
      </c>
      <c r="B209" s="4" t="s">
        <v>5</v>
      </c>
    </row>
    <row r="210" spans="1:2" x14ac:dyDescent="0.2">
      <c r="A210" s="7" t="s">
        <v>234</v>
      </c>
      <c r="B210" s="4" t="s">
        <v>14</v>
      </c>
    </row>
    <row r="211" spans="1:2" x14ac:dyDescent="0.2">
      <c r="A211" s="7" t="s">
        <v>235</v>
      </c>
      <c r="B211" s="4" t="s">
        <v>16</v>
      </c>
    </row>
    <row r="212" spans="1:2" x14ac:dyDescent="0.2">
      <c r="A212" s="7" t="s">
        <v>236</v>
      </c>
      <c r="B212" s="4" t="s">
        <v>13</v>
      </c>
    </row>
    <row r="213" spans="1:2" x14ac:dyDescent="0.2">
      <c r="A213" s="7" t="s">
        <v>237</v>
      </c>
      <c r="B213" s="4" t="s">
        <v>10</v>
      </c>
    </row>
    <row r="214" spans="1:2" x14ac:dyDescent="0.2">
      <c r="A214" s="7" t="s">
        <v>238</v>
      </c>
      <c r="B214" s="4" t="s">
        <v>7</v>
      </c>
    </row>
    <row r="215" spans="1:2" x14ac:dyDescent="0.2">
      <c r="A215" s="7" t="s">
        <v>239</v>
      </c>
      <c r="B215" s="4" t="s">
        <v>10</v>
      </c>
    </row>
    <row r="216" spans="1:2" x14ac:dyDescent="0.2">
      <c r="A216" s="7" t="s">
        <v>240</v>
      </c>
      <c r="B216" s="4" t="s">
        <v>11</v>
      </c>
    </row>
    <row r="217" spans="1:2" x14ac:dyDescent="0.2">
      <c r="A217" s="7" t="s">
        <v>241</v>
      </c>
      <c r="B217" s="4" t="s">
        <v>5</v>
      </c>
    </row>
    <row r="218" spans="1:2" x14ac:dyDescent="0.2">
      <c r="A218" s="7" t="s">
        <v>242</v>
      </c>
      <c r="B218" s="4" t="s">
        <v>7</v>
      </c>
    </row>
    <row r="219" spans="1:2" x14ac:dyDescent="0.2">
      <c r="A219" s="7" t="s">
        <v>243</v>
      </c>
      <c r="B219" s="4" t="s">
        <v>9</v>
      </c>
    </row>
    <row r="220" spans="1:2" x14ac:dyDescent="0.2">
      <c r="A220" s="7" t="s">
        <v>244</v>
      </c>
      <c r="B220" s="4" t="s">
        <v>6</v>
      </c>
    </row>
    <row r="221" spans="1:2" x14ac:dyDescent="0.2">
      <c r="A221" s="7" t="s">
        <v>245</v>
      </c>
      <c r="B221" s="4" t="s">
        <v>5</v>
      </c>
    </row>
    <row r="222" spans="1:2" x14ac:dyDescent="0.2">
      <c r="A222" s="7" t="s">
        <v>246</v>
      </c>
      <c r="B222" s="4" t="s">
        <v>7</v>
      </c>
    </row>
    <row r="223" spans="1:2" x14ac:dyDescent="0.2">
      <c r="A223" s="7" t="s">
        <v>247</v>
      </c>
      <c r="B223" s="4" t="s">
        <v>7</v>
      </c>
    </row>
    <row r="224" spans="1:2" x14ac:dyDescent="0.2">
      <c r="A224" s="7" t="s">
        <v>248</v>
      </c>
      <c r="B224" s="4" t="s">
        <v>14</v>
      </c>
    </row>
    <row r="225" spans="1:2" x14ac:dyDescent="0.2">
      <c r="A225" s="7" t="s">
        <v>249</v>
      </c>
      <c r="B225" s="4" t="s">
        <v>12</v>
      </c>
    </row>
    <row r="226" spans="1:2" x14ac:dyDescent="0.2">
      <c r="A226" s="7" t="s">
        <v>250</v>
      </c>
      <c r="B226" s="4" t="s">
        <v>7</v>
      </c>
    </row>
    <row r="227" spans="1:2" x14ac:dyDescent="0.2">
      <c r="A227" s="7" t="s">
        <v>251</v>
      </c>
      <c r="B227" s="4" t="s">
        <v>6</v>
      </c>
    </row>
    <row r="228" spans="1:2" x14ac:dyDescent="0.2">
      <c r="A228" s="7" t="s">
        <v>252</v>
      </c>
      <c r="B228" s="4" t="s">
        <v>9</v>
      </c>
    </row>
    <row r="229" spans="1:2" x14ac:dyDescent="0.2">
      <c r="A229" s="7" t="s">
        <v>253</v>
      </c>
      <c r="B229" s="4" t="s">
        <v>13</v>
      </c>
    </row>
    <row r="230" spans="1:2" x14ac:dyDescent="0.2">
      <c r="A230" s="7" t="s">
        <v>254</v>
      </c>
      <c r="B230" s="4" t="s">
        <v>13</v>
      </c>
    </row>
    <row r="231" spans="1:2" x14ac:dyDescent="0.2">
      <c r="A231" s="7" t="s">
        <v>255</v>
      </c>
      <c r="B231" s="4" t="s">
        <v>14</v>
      </c>
    </row>
    <row r="232" spans="1:2" x14ac:dyDescent="0.2">
      <c r="A232" s="7" t="s">
        <v>256</v>
      </c>
      <c r="B232" s="4" t="s">
        <v>8</v>
      </c>
    </row>
    <row r="233" spans="1:2" x14ac:dyDescent="0.2">
      <c r="A233" s="7" t="s">
        <v>257</v>
      </c>
      <c r="B233" s="4" t="s">
        <v>7</v>
      </c>
    </row>
    <row r="234" spans="1:2" x14ac:dyDescent="0.2">
      <c r="A234" s="7" t="s">
        <v>258</v>
      </c>
      <c r="B234" s="4" t="s">
        <v>6</v>
      </c>
    </row>
    <row r="235" spans="1:2" x14ac:dyDescent="0.2">
      <c r="A235" s="7" t="s">
        <v>259</v>
      </c>
      <c r="B235" s="4" t="s">
        <v>13</v>
      </c>
    </row>
    <row r="236" spans="1:2" x14ac:dyDescent="0.2">
      <c r="A236" s="7" t="s">
        <v>260</v>
      </c>
      <c r="B236" s="4" t="s">
        <v>10</v>
      </c>
    </row>
    <row r="237" spans="1:2" x14ac:dyDescent="0.2">
      <c r="A237" s="7" t="s">
        <v>261</v>
      </c>
      <c r="B237" s="4" t="s">
        <v>8</v>
      </c>
    </row>
    <row r="238" spans="1:2" x14ac:dyDescent="0.2">
      <c r="A238" s="7" t="s">
        <v>262</v>
      </c>
      <c r="B238" s="4" t="s">
        <v>11</v>
      </c>
    </row>
    <row r="239" spans="1:2" x14ac:dyDescent="0.2">
      <c r="A239" s="7" t="s">
        <v>263</v>
      </c>
      <c r="B239" s="4" t="s">
        <v>14</v>
      </c>
    </row>
    <row r="240" spans="1:2" x14ac:dyDescent="0.2">
      <c r="A240" s="7" t="s">
        <v>264</v>
      </c>
      <c r="B240" s="4" t="s">
        <v>16</v>
      </c>
    </row>
    <row r="241" spans="1:2" x14ac:dyDescent="0.2">
      <c r="A241" s="7" t="s">
        <v>265</v>
      </c>
      <c r="B241" s="4" t="s">
        <v>10</v>
      </c>
    </row>
    <row r="242" spans="1:2" x14ac:dyDescent="0.2">
      <c r="A242" s="7" t="s">
        <v>266</v>
      </c>
      <c r="B242" s="4" t="s">
        <v>8</v>
      </c>
    </row>
    <row r="243" spans="1:2" x14ac:dyDescent="0.2">
      <c r="A243" s="7" t="s">
        <v>267</v>
      </c>
      <c r="B243" s="4" t="s">
        <v>7</v>
      </c>
    </row>
    <row r="244" spans="1:2" x14ac:dyDescent="0.2">
      <c r="A244" s="7" t="s">
        <v>268</v>
      </c>
      <c r="B244" s="4" t="s">
        <v>11</v>
      </c>
    </row>
    <row r="245" spans="1:2" x14ac:dyDescent="0.2">
      <c r="A245" s="7" t="s">
        <v>269</v>
      </c>
      <c r="B245" s="4" t="s">
        <v>5</v>
      </c>
    </row>
    <row r="246" spans="1:2" x14ac:dyDescent="0.2">
      <c r="A246" s="7" t="s">
        <v>270</v>
      </c>
      <c r="B246" s="4" t="s">
        <v>15</v>
      </c>
    </row>
    <row r="247" spans="1:2" x14ac:dyDescent="0.2">
      <c r="A247" s="7" t="s">
        <v>271</v>
      </c>
      <c r="B247" s="4" t="s">
        <v>13</v>
      </c>
    </row>
    <row r="248" spans="1:2" x14ac:dyDescent="0.2">
      <c r="A248" s="7" t="s">
        <v>272</v>
      </c>
      <c r="B248" s="4" t="s">
        <v>7</v>
      </c>
    </row>
    <row r="249" spans="1:2" x14ac:dyDescent="0.2">
      <c r="A249" s="7" t="s">
        <v>273</v>
      </c>
      <c r="B249" s="4" t="s">
        <v>13</v>
      </c>
    </row>
    <row r="250" spans="1:2" x14ac:dyDescent="0.2">
      <c r="A250" s="7" t="s">
        <v>274</v>
      </c>
      <c r="B250" s="4" t="s">
        <v>17</v>
      </c>
    </row>
    <row r="251" spans="1:2" x14ac:dyDescent="0.2">
      <c r="A251" s="7" t="s">
        <v>275</v>
      </c>
      <c r="B251" s="4" t="s">
        <v>15</v>
      </c>
    </row>
    <row r="252" spans="1:2" x14ac:dyDescent="0.2">
      <c r="A252" s="7" t="s">
        <v>276</v>
      </c>
      <c r="B252" s="4" t="s">
        <v>11</v>
      </c>
    </row>
    <row r="253" spans="1:2" x14ac:dyDescent="0.2">
      <c r="A253" s="7" t="s">
        <v>277</v>
      </c>
      <c r="B253" s="4" t="s">
        <v>7</v>
      </c>
    </row>
    <row r="254" spans="1:2" x14ac:dyDescent="0.2">
      <c r="A254" s="7" t="s">
        <v>278</v>
      </c>
      <c r="B254" s="4" t="s">
        <v>14</v>
      </c>
    </row>
    <row r="255" spans="1:2" x14ac:dyDescent="0.2">
      <c r="A255" s="7" t="s">
        <v>279</v>
      </c>
      <c r="B255" s="4" t="s">
        <v>13</v>
      </c>
    </row>
    <row r="256" spans="1:2" x14ac:dyDescent="0.2">
      <c r="A256" s="7" t="s">
        <v>280</v>
      </c>
      <c r="B256" s="4" t="s">
        <v>9</v>
      </c>
    </row>
    <row r="257" spans="1:2" x14ac:dyDescent="0.2">
      <c r="A257" s="7" t="s">
        <v>281</v>
      </c>
      <c r="B257" s="4" t="s">
        <v>13</v>
      </c>
    </row>
    <row r="258" spans="1:2" x14ac:dyDescent="0.2">
      <c r="A258" s="7" t="s">
        <v>282</v>
      </c>
      <c r="B258" s="4" t="s">
        <v>14</v>
      </c>
    </row>
    <row r="259" spans="1:2" x14ac:dyDescent="0.2">
      <c r="A259" s="7" t="s">
        <v>283</v>
      </c>
      <c r="B259" s="4" t="s">
        <v>7</v>
      </c>
    </row>
    <row r="260" spans="1:2" x14ac:dyDescent="0.2">
      <c r="A260" s="7" t="s">
        <v>284</v>
      </c>
      <c r="B260" s="4" t="s">
        <v>10</v>
      </c>
    </row>
    <row r="261" spans="1:2" x14ac:dyDescent="0.2">
      <c r="A261" s="7" t="s">
        <v>285</v>
      </c>
      <c r="B261" s="4" t="s">
        <v>17</v>
      </c>
    </row>
    <row r="262" spans="1:2" x14ac:dyDescent="0.2">
      <c r="A262" s="7" t="s">
        <v>286</v>
      </c>
      <c r="B262" s="4" t="s">
        <v>17</v>
      </c>
    </row>
    <row r="263" spans="1:2" x14ac:dyDescent="0.2">
      <c r="A263" s="7" t="s">
        <v>287</v>
      </c>
      <c r="B263" s="4" t="s">
        <v>6</v>
      </c>
    </row>
    <row r="264" spans="1:2" x14ac:dyDescent="0.2">
      <c r="A264" s="7" t="s">
        <v>288</v>
      </c>
      <c r="B264" s="4" t="s">
        <v>16</v>
      </c>
    </row>
    <row r="265" spans="1:2" x14ac:dyDescent="0.2">
      <c r="A265" s="7" t="s">
        <v>289</v>
      </c>
      <c r="B265" s="4" t="s">
        <v>16</v>
      </c>
    </row>
    <row r="266" spans="1:2" x14ac:dyDescent="0.2">
      <c r="A266" s="7" t="s">
        <v>290</v>
      </c>
      <c r="B266" s="4" t="s">
        <v>10</v>
      </c>
    </row>
    <row r="267" spans="1:2" x14ac:dyDescent="0.2">
      <c r="A267" s="7" t="s">
        <v>291</v>
      </c>
      <c r="B267" s="4" t="s">
        <v>9</v>
      </c>
    </row>
    <row r="268" spans="1:2" x14ac:dyDescent="0.2">
      <c r="A268" s="7" t="s">
        <v>292</v>
      </c>
      <c r="B268" s="4" t="s">
        <v>9</v>
      </c>
    </row>
    <row r="269" spans="1:2" x14ac:dyDescent="0.2">
      <c r="A269" s="7" t="s">
        <v>293</v>
      </c>
      <c r="B269" s="4" t="s">
        <v>10</v>
      </c>
    </row>
    <row r="270" spans="1:2" x14ac:dyDescent="0.2">
      <c r="A270" s="7" t="s">
        <v>294</v>
      </c>
      <c r="B270" s="4" t="s">
        <v>8</v>
      </c>
    </row>
    <row r="271" spans="1:2" x14ac:dyDescent="0.2">
      <c r="A271" s="7" t="s">
        <v>295</v>
      </c>
      <c r="B271" s="4" t="s">
        <v>11</v>
      </c>
    </row>
    <row r="272" spans="1:2" x14ac:dyDescent="0.2">
      <c r="A272" s="7" t="s">
        <v>296</v>
      </c>
      <c r="B272" s="4" t="s">
        <v>15</v>
      </c>
    </row>
    <row r="273" spans="1:2" x14ac:dyDescent="0.2">
      <c r="A273" s="7" t="s">
        <v>297</v>
      </c>
      <c r="B273" s="4" t="s">
        <v>9</v>
      </c>
    </row>
    <row r="274" spans="1:2" x14ac:dyDescent="0.2">
      <c r="A274" s="7" t="s">
        <v>298</v>
      </c>
      <c r="B274" s="4" t="s">
        <v>11</v>
      </c>
    </row>
    <row r="275" spans="1:2" x14ac:dyDescent="0.2">
      <c r="A275" s="7" t="s">
        <v>299</v>
      </c>
      <c r="B275" s="4" t="s">
        <v>12</v>
      </c>
    </row>
    <row r="276" spans="1:2" x14ac:dyDescent="0.2">
      <c r="A276" s="7" t="s">
        <v>300</v>
      </c>
      <c r="B276" s="4" t="s">
        <v>14</v>
      </c>
    </row>
    <row r="277" spans="1:2" x14ac:dyDescent="0.2">
      <c r="A277" s="7" t="s">
        <v>301</v>
      </c>
      <c r="B277" s="4" t="s">
        <v>10</v>
      </c>
    </row>
    <row r="278" spans="1:2" x14ac:dyDescent="0.2">
      <c r="A278" s="7" t="s">
        <v>302</v>
      </c>
      <c r="B278" s="4" t="s">
        <v>15</v>
      </c>
    </row>
    <row r="279" spans="1:2" x14ac:dyDescent="0.2">
      <c r="A279" s="7" t="s">
        <v>303</v>
      </c>
      <c r="B279" s="4" t="s">
        <v>9</v>
      </c>
    </row>
    <row r="280" spans="1:2" x14ac:dyDescent="0.2">
      <c r="A280" s="7" t="s">
        <v>304</v>
      </c>
      <c r="B280" s="4" t="s">
        <v>12</v>
      </c>
    </row>
    <row r="281" spans="1:2" x14ac:dyDescent="0.2">
      <c r="A281" s="7" t="s">
        <v>305</v>
      </c>
      <c r="B281" s="4" t="s">
        <v>15</v>
      </c>
    </row>
    <row r="282" spans="1:2" x14ac:dyDescent="0.2">
      <c r="A282" s="7" t="s">
        <v>306</v>
      </c>
      <c r="B282" s="4" t="s">
        <v>11</v>
      </c>
    </row>
    <row r="283" spans="1:2" x14ac:dyDescent="0.2">
      <c r="A283" s="7" t="s">
        <v>307</v>
      </c>
      <c r="B283" s="4" t="s">
        <v>14</v>
      </c>
    </row>
    <row r="284" spans="1:2" x14ac:dyDescent="0.2">
      <c r="A284" s="7" t="s">
        <v>308</v>
      </c>
      <c r="B284" s="4" t="s">
        <v>17</v>
      </c>
    </row>
    <row r="285" spans="1:2" x14ac:dyDescent="0.2">
      <c r="A285" s="7" t="s">
        <v>309</v>
      </c>
      <c r="B285" s="4" t="s">
        <v>12</v>
      </c>
    </row>
    <row r="286" spans="1:2" x14ac:dyDescent="0.2">
      <c r="A286" s="7" t="s">
        <v>310</v>
      </c>
      <c r="B286" s="4" t="s">
        <v>10</v>
      </c>
    </row>
    <row r="287" spans="1:2" x14ac:dyDescent="0.2">
      <c r="A287" s="7" t="s">
        <v>311</v>
      </c>
      <c r="B287" s="4" t="s">
        <v>13</v>
      </c>
    </row>
    <row r="288" spans="1:2" x14ac:dyDescent="0.2">
      <c r="A288" s="7" t="s">
        <v>312</v>
      </c>
      <c r="B288" s="4" t="s">
        <v>12</v>
      </c>
    </row>
    <row r="289" spans="1:2" x14ac:dyDescent="0.2">
      <c r="A289" s="7" t="s">
        <v>313</v>
      </c>
      <c r="B289" s="4" t="s">
        <v>11</v>
      </c>
    </row>
    <row r="290" spans="1:2" x14ac:dyDescent="0.2">
      <c r="A290" s="7" t="s">
        <v>314</v>
      </c>
      <c r="B290" s="4" t="s">
        <v>6</v>
      </c>
    </row>
    <row r="291" spans="1:2" x14ac:dyDescent="0.2">
      <c r="A291" s="7" t="s">
        <v>315</v>
      </c>
      <c r="B291" s="4" t="s">
        <v>8</v>
      </c>
    </row>
    <row r="292" spans="1:2" x14ac:dyDescent="0.2">
      <c r="A292" s="7" t="s">
        <v>316</v>
      </c>
      <c r="B292" s="4" t="s">
        <v>9</v>
      </c>
    </row>
    <row r="293" spans="1:2" x14ac:dyDescent="0.2">
      <c r="A293" s="7" t="s">
        <v>317</v>
      </c>
      <c r="B293" s="4" t="s">
        <v>7</v>
      </c>
    </row>
    <row r="294" spans="1:2" x14ac:dyDescent="0.2">
      <c r="A294" s="7" t="s">
        <v>318</v>
      </c>
      <c r="B294" s="4" t="s">
        <v>11</v>
      </c>
    </row>
    <row r="295" spans="1:2" x14ac:dyDescent="0.2">
      <c r="A295" s="7" t="s">
        <v>319</v>
      </c>
      <c r="B295" s="4" t="s">
        <v>14</v>
      </c>
    </row>
    <row r="296" spans="1:2" x14ac:dyDescent="0.2">
      <c r="A296" s="7" t="s">
        <v>320</v>
      </c>
      <c r="B296" s="4" t="s">
        <v>6</v>
      </c>
    </row>
    <row r="297" spans="1:2" x14ac:dyDescent="0.2">
      <c r="A297" s="7" t="s">
        <v>321</v>
      </c>
      <c r="B297" s="4" t="s">
        <v>9</v>
      </c>
    </row>
    <row r="298" spans="1:2" x14ac:dyDescent="0.2">
      <c r="A298" s="7" t="s">
        <v>322</v>
      </c>
      <c r="B298" s="4" t="s">
        <v>7</v>
      </c>
    </row>
    <row r="299" spans="1:2" x14ac:dyDescent="0.2">
      <c r="A299" s="7" t="s">
        <v>323</v>
      </c>
      <c r="B299" s="4" t="s">
        <v>8</v>
      </c>
    </row>
    <row r="300" spans="1:2" x14ac:dyDescent="0.2">
      <c r="A300" s="7" t="s">
        <v>324</v>
      </c>
      <c r="B300" s="4" t="s">
        <v>6</v>
      </c>
    </row>
    <row r="301" spans="1:2" x14ac:dyDescent="0.2">
      <c r="A301" s="7" t="s">
        <v>325</v>
      </c>
      <c r="B301" s="4" t="s">
        <v>10</v>
      </c>
    </row>
    <row r="302" spans="1:2" x14ac:dyDescent="0.2">
      <c r="A302" s="7" t="s">
        <v>326</v>
      </c>
      <c r="B302" s="4" t="s">
        <v>11</v>
      </c>
    </row>
    <row r="303" spans="1:2" x14ac:dyDescent="0.2">
      <c r="A303" s="7" t="s">
        <v>327</v>
      </c>
      <c r="B303" s="4" t="s">
        <v>10</v>
      </c>
    </row>
    <row r="304" spans="1:2" x14ac:dyDescent="0.2">
      <c r="A304" s="7" t="s">
        <v>328</v>
      </c>
      <c r="B304" s="4" t="s">
        <v>15</v>
      </c>
    </row>
    <row r="305" spans="1:2" x14ac:dyDescent="0.2">
      <c r="A305" s="7" t="s">
        <v>329</v>
      </c>
      <c r="B305" s="4" t="s">
        <v>11</v>
      </c>
    </row>
    <row r="306" spans="1:2" x14ac:dyDescent="0.2">
      <c r="A306" s="7" t="s">
        <v>330</v>
      </c>
      <c r="B306" s="4" t="s">
        <v>8</v>
      </c>
    </row>
    <row r="307" spans="1:2" x14ac:dyDescent="0.2">
      <c r="A307" s="7" t="s">
        <v>331</v>
      </c>
      <c r="B307" s="4" t="s">
        <v>8</v>
      </c>
    </row>
    <row r="308" spans="1:2" x14ac:dyDescent="0.2">
      <c r="A308" s="7" t="s">
        <v>332</v>
      </c>
      <c r="B308" s="4" t="s">
        <v>11</v>
      </c>
    </row>
    <row r="309" spans="1:2" x14ac:dyDescent="0.2">
      <c r="A309" s="7" t="s">
        <v>333</v>
      </c>
      <c r="B309" s="4" t="s">
        <v>5</v>
      </c>
    </row>
    <row r="310" spans="1:2" x14ac:dyDescent="0.2">
      <c r="A310" s="7" t="s">
        <v>334</v>
      </c>
      <c r="B310" s="4" t="s">
        <v>11</v>
      </c>
    </row>
    <row r="311" spans="1:2" x14ac:dyDescent="0.2">
      <c r="A311" s="7" t="s">
        <v>335</v>
      </c>
      <c r="B311" s="4" t="s">
        <v>5</v>
      </c>
    </row>
    <row r="312" spans="1:2" x14ac:dyDescent="0.2">
      <c r="A312" s="7" t="s">
        <v>336</v>
      </c>
      <c r="B312" s="4" t="s">
        <v>9</v>
      </c>
    </row>
    <row r="313" spans="1:2" x14ac:dyDescent="0.2">
      <c r="A313" s="7" t="s">
        <v>337</v>
      </c>
      <c r="B313" s="4" t="s">
        <v>9</v>
      </c>
    </row>
    <row r="314" spans="1:2" x14ac:dyDescent="0.2">
      <c r="A314" s="7" t="s">
        <v>338</v>
      </c>
      <c r="B314" s="4" t="s">
        <v>12</v>
      </c>
    </row>
    <row r="315" spans="1:2" x14ac:dyDescent="0.2">
      <c r="A315" s="7" t="s">
        <v>339</v>
      </c>
      <c r="B315" s="4" t="s">
        <v>6</v>
      </c>
    </row>
    <row r="316" spans="1:2" x14ac:dyDescent="0.2">
      <c r="A316" s="7" t="s">
        <v>340</v>
      </c>
      <c r="B316" s="4" t="s">
        <v>16</v>
      </c>
    </row>
    <row r="317" spans="1:2" x14ac:dyDescent="0.2">
      <c r="A317" s="7" t="s">
        <v>341</v>
      </c>
      <c r="B317" s="4" t="s">
        <v>5</v>
      </c>
    </row>
    <row r="318" spans="1:2" x14ac:dyDescent="0.2">
      <c r="A318" s="7" t="s">
        <v>342</v>
      </c>
      <c r="B318" s="4" t="s">
        <v>12</v>
      </c>
    </row>
    <row r="319" spans="1:2" x14ac:dyDescent="0.2">
      <c r="A319" s="7" t="s">
        <v>343</v>
      </c>
      <c r="B319" s="4" t="s">
        <v>10</v>
      </c>
    </row>
    <row r="320" spans="1:2" x14ac:dyDescent="0.2">
      <c r="A320" s="7" t="s">
        <v>344</v>
      </c>
      <c r="B320" s="4" t="s">
        <v>8</v>
      </c>
    </row>
    <row r="321" spans="1:2" x14ac:dyDescent="0.2">
      <c r="A321" s="7" t="s">
        <v>345</v>
      </c>
      <c r="B321" s="4" t="s">
        <v>10</v>
      </c>
    </row>
    <row r="322" spans="1:2" x14ac:dyDescent="0.2">
      <c r="A322" s="7" t="s">
        <v>346</v>
      </c>
      <c r="B322" s="4" t="s">
        <v>8</v>
      </c>
    </row>
    <row r="323" spans="1:2" x14ac:dyDescent="0.2">
      <c r="A323" s="7" t="s">
        <v>347</v>
      </c>
      <c r="B323" s="4" t="s">
        <v>8</v>
      </c>
    </row>
    <row r="324" spans="1:2" x14ac:dyDescent="0.2">
      <c r="A324" s="7" t="s">
        <v>348</v>
      </c>
      <c r="B324" s="4" t="s">
        <v>14</v>
      </c>
    </row>
    <row r="325" spans="1:2" x14ac:dyDescent="0.2">
      <c r="A325" s="7" t="s">
        <v>349</v>
      </c>
      <c r="B325" s="4" t="s">
        <v>13</v>
      </c>
    </row>
    <row r="326" spans="1:2" x14ac:dyDescent="0.2">
      <c r="A326" s="7" t="s">
        <v>350</v>
      </c>
      <c r="B326" s="4" t="s">
        <v>7</v>
      </c>
    </row>
    <row r="327" spans="1:2" x14ac:dyDescent="0.2">
      <c r="A327" s="7" t="s">
        <v>351</v>
      </c>
      <c r="B327" s="4" t="s">
        <v>13</v>
      </c>
    </row>
    <row r="328" spans="1:2" x14ac:dyDescent="0.2">
      <c r="A328" s="7" t="s">
        <v>352</v>
      </c>
      <c r="B328" s="4" t="s">
        <v>14</v>
      </c>
    </row>
    <row r="329" spans="1:2" x14ac:dyDescent="0.2">
      <c r="A329" s="7" t="s">
        <v>353</v>
      </c>
      <c r="B329" s="4" t="s">
        <v>10</v>
      </c>
    </row>
    <row r="330" spans="1:2" x14ac:dyDescent="0.2">
      <c r="A330" s="7" t="s">
        <v>354</v>
      </c>
      <c r="B330" s="4" t="s">
        <v>7</v>
      </c>
    </row>
    <row r="331" spans="1:2" x14ac:dyDescent="0.2">
      <c r="A331" s="7" t="s">
        <v>355</v>
      </c>
      <c r="B331" s="4" t="s">
        <v>11</v>
      </c>
    </row>
    <row r="332" spans="1:2" x14ac:dyDescent="0.2">
      <c r="A332" s="7" t="s">
        <v>356</v>
      </c>
      <c r="B332" s="4" t="s">
        <v>8</v>
      </c>
    </row>
    <row r="333" spans="1:2" x14ac:dyDescent="0.2">
      <c r="A333" s="7" t="s">
        <v>357</v>
      </c>
      <c r="B333" s="4" t="s">
        <v>14</v>
      </c>
    </row>
    <row r="334" spans="1:2" x14ac:dyDescent="0.2">
      <c r="A334" s="7" t="s">
        <v>358</v>
      </c>
      <c r="B334" s="4" t="s">
        <v>7</v>
      </c>
    </row>
    <row r="335" spans="1:2" x14ac:dyDescent="0.2">
      <c r="A335" s="7" t="s">
        <v>359</v>
      </c>
      <c r="B335" s="4" t="s">
        <v>7</v>
      </c>
    </row>
    <row r="336" spans="1:2" x14ac:dyDescent="0.2">
      <c r="A336" s="7" t="s">
        <v>360</v>
      </c>
      <c r="B336" s="4" t="s">
        <v>15</v>
      </c>
    </row>
    <row r="337" spans="1:2" x14ac:dyDescent="0.2">
      <c r="A337" s="7" t="s">
        <v>361</v>
      </c>
      <c r="B337" s="4" t="s">
        <v>8</v>
      </c>
    </row>
    <row r="338" spans="1:2" x14ac:dyDescent="0.2">
      <c r="A338" s="7" t="s">
        <v>362</v>
      </c>
      <c r="B338" s="4" t="s">
        <v>14</v>
      </c>
    </row>
    <row r="339" spans="1:2" x14ac:dyDescent="0.2">
      <c r="A339" s="7" t="s">
        <v>363</v>
      </c>
      <c r="B339" s="4" t="s">
        <v>8</v>
      </c>
    </row>
    <row r="340" spans="1:2" x14ac:dyDescent="0.2">
      <c r="A340" s="7" t="s">
        <v>364</v>
      </c>
      <c r="B340" s="4" t="s">
        <v>10</v>
      </c>
    </row>
    <row r="341" spans="1:2" x14ac:dyDescent="0.2">
      <c r="A341" s="7" t="s">
        <v>365</v>
      </c>
      <c r="B341" s="4" t="s">
        <v>12</v>
      </c>
    </row>
    <row r="342" spans="1:2" x14ac:dyDescent="0.2">
      <c r="A342" s="7" t="s">
        <v>366</v>
      </c>
      <c r="B342" s="4" t="s">
        <v>14</v>
      </c>
    </row>
    <row r="343" spans="1:2" x14ac:dyDescent="0.2">
      <c r="A343" s="7" t="s">
        <v>367</v>
      </c>
      <c r="B343" s="4" t="s">
        <v>8</v>
      </c>
    </row>
    <row r="344" spans="1:2" x14ac:dyDescent="0.2">
      <c r="A344" s="7" t="s">
        <v>368</v>
      </c>
      <c r="B344" s="4" t="s">
        <v>10</v>
      </c>
    </row>
    <row r="345" spans="1:2" x14ac:dyDescent="0.2">
      <c r="A345" s="7" t="s">
        <v>369</v>
      </c>
      <c r="B345" s="4" t="s">
        <v>14</v>
      </c>
    </row>
    <row r="346" spans="1:2" x14ac:dyDescent="0.2">
      <c r="A346" s="7" t="s">
        <v>370</v>
      </c>
      <c r="B346" s="4" t="s">
        <v>5</v>
      </c>
    </row>
    <row r="347" spans="1:2" x14ac:dyDescent="0.2">
      <c r="A347" s="7" t="s">
        <v>371</v>
      </c>
      <c r="B347" s="4" t="s">
        <v>17</v>
      </c>
    </row>
    <row r="348" spans="1:2" x14ac:dyDescent="0.2">
      <c r="A348" s="7" t="s">
        <v>372</v>
      </c>
      <c r="B348" s="4" t="s">
        <v>13</v>
      </c>
    </row>
    <row r="349" spans="1:2" x14ac:dyDescent="0.2">
      <c r="A349" s="7" t="s">
        <v>373</v>
      </c>
      <c r="B349" s="4" t="s">
        <v>10</v>
      </c>
    </row>
    <row r="350" spans="1:2" x14ac:dyDescent="0.2">
      <c r="A350" s="7" t="s">
        <v>374</v>
      </c>
      <c r="B350" s="4" t="s">
        <v>16</v>
      </c>
    </row>
    <row r="351" spans="1:2" x14ac:dyDescent="0.2">
      <c r="A351" s="7" t="s">
        <v>375</v>
      </c>
      <c r="B351" s="4" t="s">
        <v>15</v>
      </c>
    </row>
    <row r="352" spans="1:2" x14ac:dyDescent="0.2">
      <c r="A352" s="7" t="s">
        <v>376</v>
      </c>
      <c r="B352" s="4" t="s">
        <v>7</v>
      </c>
    </row>
    <row r="353" spans="1:2" x14ac:dyDescent="0.2">
      <c r="A353" s="7" t="s">
        <v>377</v>
      </c>
      <c r="B353" s="4" t="s">
        <v>9</v>
      </c>
    </row>
    <row r="354" spans="1:2" x14ac:dyDescent="0.2">
      <c r="A354" s="7" t="s">
        <v>378</v>
      </c>
      <c r="B354" s="4" t="s">
        <v>16</v>
      </c>
    </row>
    <row r="355" spans="1:2" x14ac:dyDescent="0.2">
      <c r="A355" s="7" t="s">
        <v>379</v>
      </c>
      <c r="B355" s="4" t="s">
        <v>17</v>
      </c>
    </row>
    <row r="356" spans="1:2" x14ac:dyDescent="0.2">
      <c r="A356" s="7" t="s">
        <v>380</v>
      </c>
      <c r="B356" s="4" t="s">
        <v>7</v>
      </c>
    </row>
    <row r="357" spans="1:2" x14ac:dyDescent="0.2">
      <c r="A357" s="7" t="s">
        <v>381</v>
      </c>
      <c r="B357" s="4" t="s">
        <v>7</v>
      </c>
    </row>
    <row r="358" spans="1:2" x14ac:dyDescent="0.2">
      <c r="A358" s="7" t="s">
        <v>382</v>
      </c>
      <c r="B358" s="4" t="s">
        <v>5</v>
      </c>
    </row>
    <row r="359" spans="1:2" x14ac:dyDescent="0.2">
      <c r="A359" s="7" t="s">
        <v>383</v>
      </c>
      <c r="B359" s="4" t="s">
        <v>14</v>
      </c>
    </row>
    <row r="360" spans="1:2" x14ac:dyDescent="0.2">
      <c r="A360" s="7" t="s">
        <v>384</v>
      </c>
      <c r="B360" s="4" t="s">
        <v>8</v>
      </c>
    </row>
    <row r="361" spans="1:2" x14ac:dyDescent="0.2">
      <c r="A361" s="7" t="s">
        <v>385</v>
      </c>
      <c r="B361" s="4" t="s">
        <v>16</v>
      </c>
    </row>
    <row r="362" spans="1:2" x14ac:dyDescent="0.2">
      <c r="A362" s="7" t="s">
        <v>386</v>
      </c>
      <c r="B362" s="4" t="s">
        <v>8</v>
      </c>
    </row>
    <row r="363" spans="1:2" x14ac:dyDescent="0.2">
      <c r="A363" s="7" t="s">
        <v>387</v>
      </c>
      <c r="B363" s="4" t="s">
        <v>13</v>
      </c>
    </row>
    <row r="364" spans="1:2" x14ac:dyDescent="0.2">
      <c r="A364" s="7" t="s">
        <v>388</v>
      </c>
      <c r="B364" s="4" t="s">
        <v>10</v>
      </c>
    </row>
    <row r="365" spans="1:2" x14ac:dyDescent="0.2">
      <c r="A365" s="7" t="s">
        <v>389</v>
      </c>
      <c r="B365" s="4" t="s">
        <v>15</v>
      </c>
    </row>
    <row r="366" spans="1:2" x14ac:dyDescent="0.2">
      <c r="A366" s="7" t="s">
        <v>390</v>
      </c>
      <c r="B366" s="4" t="s">
        <v>7</v>
      </c>
    </row>
    <row r="367" spans="1:2" x14ac:dyDescent="0.2">
      <c r="A367" s="7" t="s">
        <v>391</v>
      </c>
      <c r="B367" s="4" t="s">
        <v>8</v>
      </c>
    </row>
    <row r="368" spans="1:2" x14ac:dyDescent="0.2">
      <c r="A368" s="7" t="s">
        <v>392</v>
      </c>
      <c r="B368" s="4" t="s">
        <v>12</v>
      </c>
    </row>
    <row r="369" spans="1:2" x14ac:dyDescent="0.2">
      <c r="A369" s="7" t="s">
        <v>393</v>
      </c>
      <c r="B369" s="4" t="s">
        <v>8</v>
      </c>
    </row>
    <row r="370" spans="1:2" x14ac:dyDescent="0.2">
      <c r="A370" s="7" t="s">
        <v>394</v>
      </c>
      <c r="B370" s="4" t="s">
        <v>10</v>
      </c>
    </row>
    <row r="371" spans="1:2" x14ac:dyDescent="0.2">
      <c r="A371" s="7" t="s">
        <v>395</v>
      </c>
      <c r="B371" s="4" t="s">
        <v>12</v>
      </c>
    </row>
    <row r="372" spans="1:2" x14ac:dyDescent="0.2">
      <c r="A372" s="7" t="s">
        <v>396</v>
      </c>
      <c r="B372" s="4" t="s">
        <v>14</v>
      </c>
    </row>
    <row r="373" spans="1:2" x14ac:dyDescent="0.2">
      <c r="A373" s="7" t="s">
        <v>397</v>
      </c>
      <c r="B373" s="4" t="s">
        <v>16</v>
      </c>
    </row>
    <row r="374" spans="1:2" x14ac:dyDescent="0.2">
      <c r="A374" s="7" t="s">
        <v>398</v>
      </c>
      <c r="B374" s="4" t="s">
        <v>16</v>
      </c>
    </row>
    <row r="375" spans="1:2" x14ac:dyDescent="0.2">
      <c r="A375" s="7" t="s">
        <v>399</v>
      </c>
      <c r="B375" s="4" t="s">
        <v>15</v>
      </c>
    </row>
    <row r="376" spans="1:2" x14ac:dyDescent="0.2">
      <c r="A376" s="7" t="s">
        <v>400</v>
      </c>
      <c r="B376" s="4" t="s">
        <v>15</v>
      </c>
    </row>
    <row r="377" spans="1:2" x14ac:dyDescent="0.2">
      <c r="A377" s="7" t="s">
        <v>401</v>
      </c>
      <c r="B377" s="4" t="s">
        <v>6</v>
      </c>
    </row>
    <row r="378" spans="1:2" x14ac:dyDescent="0.2">
      <c r="A378" s="7" t="s">
        <v>402</v>
      </c>
      <c r="B378" s="4" t="s">
        <v>14</v>
      </c>
    </row>
    <row r="379" spans="1:2" x14ac:dyDescent="0.2">
      <c r="A379" s="7" t="s">
        <v>403</v>
      </c>
      <c r="B379" s="4" t="s">
        <v>7</v>
      </c>
    </row>
    <row r="380" spans="1:2" x14ac:dyDescent="0.2">
      <c r="A380" s="7" t="s">
        <v>404</v>
      </c>
      <c r="B380" s="4" t="s">
        <v>15</v>
      </c>
    </row>
    <row r="381" spans="1:2" x14ac:dyDescent="0.2">
      <c r="A381" s="7" t="s">
        <v>405</v>
      </c>
      <c r="B381" s="4" t="s">
        <v>9</v>
      </c>
    </row>
    <row r="382" spans="1:2" x14ac:dyDescent="0.2">
      <c r="A382" s="7" t="s">
        <v>406</v>
      </c>
      <c r="B382" s="4" t="s">
        <v>7</v>
      </c>
    </row>
    <row r="383" spans="1:2" x14ac:dyDescent="0.2">
      <c r="A383" s="7" t="s">
        <v>407</v>
      </c>
      <c r="B383" s="4" t="s">
        <v>8</v>
      </c>
    </row>
    <row r="384" spans="1:2" x14ac:dyDescent="0.2">
      <c r="A384" s="7" t="s">
        <v>408</v>
      </c>
      <c r="B384" s="4" t="s">
        <v>7</v>
      </c>
    </row>
    <row r="385" spans="1:2" x14ac:dyDescent="0.2">
      <c r="A385" s="7" t="s">
        <v>409</v>
      </c>
      <c r="B385" s="4" t="s">
        <v>9</v>
      </c>
    </row>
    <row r="386" spans="1:2" x14ac:dyDescent="0.2">
      <c r="A386" s="7" t="s">
        <v>410</v>
      </c>
      <c r="B386" s="4" t="s">
        <v>16</v>
      </c>
    </row>
    <row r="387" spans="1:2" x14ac:dyDescent="0.2">
      <c r="A387" s="7" t="s">
        <v>411</v>
      </c>
      <c r="B387" s="4" t="s">
        <v>7</v>
      </c>
    </row>
    <row r="388" spans="1:2" x14ac:dyDescent="0.2">
      <c r="A388" s="7" t="s">
        <v>412</v>
      </c>
      <c r="B388" s="4" t="s">
        <v>11</v>
      </c>
    </row>
    <row r="389" spans="1:2" x14ac:dyDescent="0.2">
      <c r="A389" s="7" t="s">
        <v>413</v>
      </c>
      <c r="B389" s="4" t="s">
        <v>6</v>
      </c>
    </row>
    <row r="390" spans="1:2" x14ac:dyDescent="0.2">
      <c r="A390" s="7" t="s">
        <v>414</v>
      </c>
      <c r="B390" s="4" t="s">
        <v>16</v>
      </c>
    </row>
    <row r="391" spans="1:2" x14ac:dyDescent="0.2">
      <c r="A391" s="7" t="s">
        <v>415</v>
      </c>
      <c r="B391" s="4" t="s">
        <v>17</v>
      </c>
    </row>
    <row r="392" spans="1:2" x14ac:dyDescent="0.2">
      <c r="A392" s="7" t="s">
        <v>416</v>
      </c>
      <c r="B392" s="4" t="s">
        <v>13</v>
      </c>
    </row>
    <row r="393" spans="1:2" x14ac:dyDescent="0.2">
      <c r="A393" s="7" t="s">
        <v>417</v>
      </c>
      <c r="B393" s="4" t="s">
        <v>8</v>
      </c>
    </row>
    <row r="394" spans="1:2" x14ac:dyDescent="0.2">
      <c r="A394" s="7" t="s">
        <v>418</v>
      </c>
      <c r="B394" s="4" t="s">
        <v>15</v>
      </c>
    </row>
    <row r="395" spans="1:2" x14ac:dyDescent="0.2">
      <c r="A395" s="7" t="s">
        <v>419</v>
      </c>
      <c r="B395" s="4" t="s">
        <v>7</v>
      </c>
    </row>
    <row r="396" spans="1:2" x14ac:dyDescent="0.2">
      <c r="A396" s="7" t="s">
        <v>420</v>
      </c>
      <c r="B396" s="4" t="s">
        <v>10</v>
      </c>
    </row>
    <row r="397" spans="1:2" x14ac:dyDescent="0.2">
      <c r="A397" s="7" t="s">
        <v>421</v>
      </c>
      <c r="B397" s="4" t="s">
        <v>11</v>
      </c>
    </row>
    <row r="398" spans="1:2" x14ac:dyDescent="0.2">
      <c r="A398" s="7" t="s">
        <v>422</v>
      </c>
      <c r="B398" s="4" t="s">
        <v>10</v>
      </c>
    </row>
    <row r="399" spans="1:2" x14ac:dyDescent="0.2">
      <c r="A399" s="7" t="s">
        <v>423</v>
      </c>
      <c r="B399" s="4" t="s">
        <v>15</v>
      </c>
    </row>
    <row r="400" spans="1:2" x14ac:dyDescent="0.2">
      <c r="A400" s="7" t="s">
        <v>424</v>
      </c>
      <c r="B400" s="4" t="s">
        <v>16</v>
      </c>
    </row>
  </sheetData>
  <sheetProtection password="CAC7" sheet="1" objects="1" scenarios="1"/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8"/>
  <sheetViews>
    <sheetView showGridLines="0" workbookViewId="0">
      <pane ySplit="2" topLeftCell="A33" activePane="bottomLeft" state="frozen"/>
      <selection activeCell="A2" sqref="A2"/>
      <selection pane="bottomLeft" activeCell="A2" sqref="A2"/>
    </sheetView>
  </sheetViews>
  <sheetFormatPr defaultColWidth="0" defaultRowHeight="12.75" zeroHeight="1" x14ac:dyDescent="0.2"/>
  <cols>
    <col min="1" max="4" width="11.85546875" style="1" customWidth="1"/>
    <col min="5" max="5" width="2.42578125" customWidth="1"/>
  </cols>
  <sheetData>
    <row r="1" spans="1:6" ht="25.5" x14ac:dyDescent="0.2">
      <c r="A1" s="2" t="s">
        <v>24</v>
      </c>
      <c r="B1" s="3"/>
      <c r="C1" s="3"/>
      <c r="D1" s="3"/>
    </row>
    <row r="2" spans="1:6" x14ac:dyDescent="0.2">
      <c r="A2" s="6" t="s">
        <v>19</v>
      </c>
      <c r="B2" s="6" t="s">
        <v>18</v>
      </c>
      <c r="C2" s="6" t="s">
        <v>22</v>
      </c>
      <c r="D2" s="6" t="s">
        <v>20</v>
      </c>
      <c r="F2" s="1"/>
    </row>
    <row r="3" spans="1:6" x14ac:dyDescent="0.2">
      <c r="A3" s="4">
        <v>1.52E-2</v>
      </c>
      <c r="B3" s="4">
        <v>2.3699999999999999E-2</v>
      </c>
      <c r="C3" s="5">
        <v>0.15</v>
      </c>
      <c r="D3" s="4">
        <v>7.3899999999999993E-2</v>
      </c>
    </row>
    <row r="4" spans="1:6" x14ac:dyDescent="0.2">
      <c r="A4" s="4">
        <v>1.7399999999999999E-2</v>
      </c>
      <c r="B4" s="4">
        <v>2.69E-2</v>
      </c>
      <c r="C4" s="5">
        <v>0.16</v>
      </c>
      <c r="D4" s="4">
        <v>8.1100000000000005E-2</v>
      </c>
    </row>
    <row r="5" spans="1:6" x14ac:dyDescent="0.2">
      <c r="A5" s="4">
        <v>1.9699999999999999E-2</v>
      </c>
      <c r="B5" s="4">
        <v>3.04E-2</v>
      </c>
      <c r="C5" s="5">
        <v>0.17</v>
      </c>
      <c r="D5" s="4">
        <v>8.0500000000000002E-2</v>
      </c>
    </row>
    <row r="6" spans="1:6" x14ac:dyDescent="0.2">
      <c r="A6" s="4">
        <v>2.2100000000000002E-2</v>
      </c>
      <c r="B6" s="4">
        <v>3.4000000000000002E-2</v>
      </c>
      <c r="C6" s="5">
        <v>0.18</v>
      </c>
      <c r="D6" s="4">
        <v>9.6100000000000005E-2</v>
      </c>
    </row>
    <row r="7" spans="1:6" x14ac:dyDescent="0.2">
      <c r="A7" s="4">
        <v>2.46E-2</v>
      </c>
      <c r="B7" s="4">
        <v>3.7699999999999997E-2</v>
      </c>
      <c r="C7" s="5">
        <v>0.19</v>
      </c>
      <c r="D7" s="4">
        <v>0.10299999999999999</v>
      </c>
    </row>
    <row r="8" spans="1:6" x14ac:dyDescent="0.2">
      <c r="A8" s="4">
        <v>2.7300000000000001E-2</v>
      </c>
      <c r="B8" s="4">
        <v>4.1799999999999997E-2</v>
      </c>
      <c r="C8" s="5">
        <v>0.2</v>
      </c>
      <c r="D8" s="4">
        <v>0.111</v>
      </c>
    </row>
    <row r="9" spans="1:6" x14ac:dyDescent="0.2">
      <c r="A9" s="4">
        <v>3.0200000000000001E-2</v>
      </c>
      <c r="B9" s="4">
        <v>4.6100000000000002E-2</v>
      </c>
      <c r="C9" s="5">
        <v>0.21</v>
      </c>
      <c r="D9" s="4">
        <v>0.11990000000000001</v>
      </c>
    </row>
    <row r="10" spans="1:6" x14ac:dyDescent="0.2">
      <c r="A10" s="4">
        <v>3.3099999999999997E-2</v>
      </c>
      <c r="B10" s="4">
        <v>3.04E-2</v>
      </c>
      <c r="C10" s="5">
        <v>0.22</v>
      </c>
      <c r="D10" s="4">
        <v>0.12609999999999999</v>
      </c>
    </row>
    <row r="11" spans="1:6" x14ac:dyDescent="0.2">
      <c r="A11" s="4">
        <v>3.61E-2</v>
      </c>
      <c r="B11" s="4">
        <v>5.4899999999999997E-2</v>
      </c>
      <c r="C11" s="5">
        <v>0.23</v>
      </c>
      <c r="D11" s="4">
        <v>0.1366</v>
      </c>
    </row>
    <row r="12" spans="1:6" x14ac:dyDescent="0.2">
      <c r="A12" s="4">
        <v>3.9399999999999998E-2</v>
      </c>
      <c r="B12" s="4">
        <v>5.9700000000000003E-2</v>
      </c>
      <c r="C12" s="5">
        <v>0.24</v>
      </c>
      <c r="D12" s="4">
        <v>0.1449</v>
      </c>
    </row>
    <row r="13" spans="1:6" x14ac:dyDescent="0.2">
      <c r="A13" s="4">
        <v>4.2700000000000002E-2</v>
      </c>
      <c r="B13" s="4">
        <v>6.4600000000000005E-2</v>
      </c>
      <c r="C13" s="5">
        <v>0.25</v>
      </c>
      <c r="D13" s="4">
        <v>0.1535</v>
      </c>
    </row>
    <row r="14" spans="1:6" x14ac:dyDescent="0.2">
      <c r="A14" s="4">
        <v>4.3200000000000002E-2</v>
      </c>
      <c r="B14" s="4">
        <v>6.9800000000000001E-2</v>
      </c>
      <c r="C14" s="5">
        <v>0.26</v>
      </c>
      <c r="D14" s="4">
        <v>0.1623</v>
      </c>
    </row>
    <row r="15" spans="1:6" x14ac:dyDescent="0.2">
      <c r="A15" s="4">
        <v>4.9799999999999997E-2</v>
      </c>
      <c r="B15" s="4">
        <v>7.5200000000000003E-2</v>
      </c>
      <c r="C15" s="5">
        <v>0.27</v>
      </c>
      <c r="D15" s="4">
        <v>0.1711</v>
      </c>
    </row>
    <row r="16" spans="1:6" x14ac:dyDescent="0.2">
      <c r="A16" s="4">
        <v>5.3499999999999999E-2</v>
      </c>
      <c r="B16" s="4">
        <v>8.0500000000000002E-2</v>
      </c>
      <c r="C16" s="5">
        <v>0.28000000000000003</v>
      </c>
      <c r="D16" s="4">
        <v>0.18</v>
      </c>
    </row>
    <row r="17" spans="1:4" x14ac:dyDescent="0.2">
      <c r="A17" s="4">
        <v>5.7299999999999997E-2</v>
      </c>
      <c r="B17" s="4">
        <v>8.6199999999999999E-2</v>
      </c>
      <c r="C17" s="5">
        <v>0.28999999999999998</v>
      </c>
      <c r="D17" s="4">
        <v>0.189</v>
      </c>
    </row>
    <row r="18" spans="1:4" x14ac:dyDescent="0.2">
      <c r="A18" s="4">
        <v>6.13E-2</v>
      </c>
      <c r="B18" s="4">
        <v>9.2100000000000001E-2</v>
      </c>
      <c r="C18" s="5">
        <v>0.3</v>
      </c>
      <c r="D18" s="4">
        <v>0.19819999999999999</v>
      </c>
    </row>
    <row r="19" spans="1:4" x14ac:dyDescent="0.2">
      <c r="A19" s="4">
        <v>6.5299999999999997E-2</v>
      </c>
      <c r="B19" s="4">
        <v>9.8100000000000007E-2</v>
      </c>
      <c r="C19" s="5">
        <v>0.31</v>
      </c>
      <c r="D19" s="4">
        <v>0.2074</v>
      </c>
    </row>
    <row r="20" spans="1:4" x14ac:dyDescent="0.2">
      <c r="A20" s="4">
        <v>6.9400000000000003E-2</v>
      </c>
      <c r="B20" s="4">
        <v>0.10440000000000001</v>
      </c>
      <c r="C20" s="5">
        <v>0.32</v>
      </c>
      <c r="D20" s="4">
        <v>0.2167</v>
      </c>
    </row>
    <row r="21" spans="1:4" x14ac:dyDescent="0.2">
      <c r="A21" s="4">
        <v>7.3499999999999996E-2</v>
      </c>
      <c r="B21" s="4">
        <v>0.11070000000000001</v>
      </c>
      <c r="C21" s="5">
        <v>0.33</v>
      </c>
      <c r="D21" s="4">
        <v>0.22600000000000001</v>
      </c>
    </row>
    <row r="22" spans="1:4" x14ac:dyDescent="0.2">
      <c r="A22" s="4">
        <v>7.7700000000000005E-2</v>
      </c>
      <c r="B22" s="4">
        <v>0.1174</v>
      </c>
      <c r="C22" s="5">
        <v>0.34</v>
      </c>
      <c r="D22" s="4">
        <v>0.23549999999999999</v>
      </c>
    </row>
    <row r="23" spans="1:4" x14ac:dyDescent="0.2">
      <c r="A23" s="4">
        <v>8.1799999999999998E-2</v>
      </c>
      <c r="B23" s="4">
        <v>0.1242</v>
      </c>
      <c r="C23" s="5">
        <v>0.35</v>
      </c>
      <c r="D23" s="4">
        <v>0.245</v>
      </c>
    </row>
    <row r="24" spans="1:4" x14ac:dyDescent="0.2">
      <c r="A24" s="4">
        <v>8.6400000000000005E-2</v>
      </c>
      <c r="B24" s="4">
        <v>0.13120000000000001</v>
      </c>
      <c r="C24" s="5">
        <v>0.36</v>
      </c>
      <c r="D24" s="4">
        <v>0.25459999999999999</v>
      </c>
    </row>
    <row r="25" spans="1:4" x14ac:dyDescent="0.2">
      <c r="A25" s="4">
        <v>9.0999999999999998E-2</v>
      </c>
      <c r="B25" s="4">
        <v>0.13830000000000001</v>
      </c>
      <c r="C25" s="5">
        <v>0.37</v>
      </c>
      <c r="D25" s="4">
        <v>0.26419999999999999</v>
      </c>
    </row>
    <row r="26" spans="1:4" x14ac:dyDescent="0.2">
      <c r="A26" s="4">
        <v>9.5500000000000002E-2</v>
      </c>
      <c r="B26" s="4">
        <v>0.14549999999999999</v>
      </c>
      <c r="C26" s="5">
        <v>0.38</v>
      </c>
      <c r="D26" s="4">
        <v>0.27389999999999998</v>
      </c>
    </row>
    <row r="27" spans="1:4" x14ac:dyDescent="0.2">
      <c r="A27" s="4">
        <v>0.1002</v>
      </c>
      <c r="B27" s="4">
        <v>0.153</v>
      </c>
      <c r="C27" s="5">
        <v>0.39</v>
      </c>
      <c r="D27" s="4">
        <v>0.28360000000000002</v>
      </c>
    </row>
    <row r="28" spans="1:4" x14ac:dyDescent="0.2">
      <c r="A28" s="4">
        <v>0.105</v>
      </c>
      <c r="B28" s="4">
        <v>0.16039999999999999</v>
      </c>
      <c r="C28" s="5">
        <v>0.4</v>
      </c>
      <c r="D28" s="4">
        <v>0.29339999999999999</v>
      </c>
    </row>
    <row r="29" spans="1:4" x14ac:dyDescent="0.2">
      <c r="A29" s="4">
        <v>0.20899999999999999</v>
      </c>
      <c r="B29" s="4">
        <v>0.16830000000000001</v>
      </c>
      <c r="C29" s="5">
        <v>0.41</v>
      </c>
      <c r="D29" s="4">
        <v>0.30320000000000003</v>
      </c>
    </row>
    <row r="30" spans="1:4" x14ac:dyDescent="0.2">
      <c r="A30" s="4">
        <v>0.1148</v>
      </c>
      <c r="B30" s="4">
        <v>0.1762</v>
      </c>
      <c r="C30" s="5">
        <v>0.42</v>
      </c>
      <c r="D30" s="4">
        <v>0.313</v>
      </c>
    </row>
    <row r="31" spans="1:4" x14ac:dyDescent="0.2">
      <c r="A31" s="4">
        <v>0.1198</v>
      </c>
      <c r="B31" s="4">
        <v>0.18440000000000001</v>
      </c>
      <c r="C31" s="5">
        <v>0.43</v>
      </c>
      <c r="D31" s="4">
        <v>0.32290000000000002</v>
      </c>
    </row>
    <row r="32" spans="1:4" x14ac:dyDescent="0.2">
      <c r="A32" s="4">
        <v>0.12479999999999999</v>
      </c>
      <c r="B32" s="4">
        <v>0.19259999999999999</v>
      </c>
      <c r="C32" s="5">
        <v>0.44</v>
      </c>
      <c r="D32" s="4">
        <v>0.33279999999999998</v>
      </c>
    </row>
    <row r="33" spans="1:4" x14ac:dyDescent="0.2">
      <c r="A33" s="4">
        <v>0.1298</v>
      </c>
      <c r="B33" s="4">
        <v>0.2014</v>
      </c>
      <c r="C33" s="5">
        <v>0.45</v>
      </c>
      <c r="D33" s="4">
        <v>0.34200000000000003</v>
      </c>
    </row>
    <row r="34" spans="1:4" x14ac:dyDescent="0.2">
      <c r="A34" s="4">
        <v>0.13469999999999999</v>
      </c>
      <c r="B34" s="4">
        <v>0.20979999999999999</v>
      </c>
      <c r="C34" s="5">
        <v>0.46</v>
      </c>
      <c r="D34" s="4">
        <v>0.35270000000000001</v>
      </c>
    </row>
    <row r="35" spans="1:4" x14ac:dyDescent="0.2">
      <c r="A35" s="4">
        <v>0.1401</v>
      </c>
      <c r="B35" s="4">
        <v>0.2185</v>
      </c>
      <c r="C35" s="5">
        <v>0.47</v>
      </c>
      <c r="D35" s="4">
        <v>0.36270000000000002</v>
      </c>
    </row>
    <row r="36" spans="1:4" x14ac:dyDescent="0.2">
      <c r="A36" s="4">
        <v>0.14510000000000001</v>
      </c>
      <c r="B36" s="4">
        <v>0.2276</v>
      </c>
      <c r="C36" s="5">
        <v>0.48</v>
      </c>
      <c r="D36" s="4">
        <v>0.37269999999999998</v>
      </c>
    </row>
    <row r="37" spans="1:4" x14ac:dyDescent="0.2">
      <c r="A37" s="4">
        <v>0.15079999999999999</v>
      </c>
      <c r="B37" s="4">
        <v>0.23680000000000001</v>
      </c>
      <c r="C37" s="5">
        <v>0.49</v>
      </c>
      <c r="D37" s="4">
        <v>0.38269999999999998</v>
      </c>
    </row>
    <row r="38" spans="1:4" x14ac:dyDescent="0.2">
      <c r="A38" s="4">
        <v>0.15590000000000001</v>
      </c>
      <c r="B38" s="4">
        <v>0.24640000000000001</v>
      </c>
      <c r="C38" s="5">
        <v>0.5</v>
      </c>
      <c r="D38" s="4">
        <v>0.39300000000000002</v>
      </c>
    </row>
    <row r="39" spans="1:4" x14ac:dyDescent="0.2">
      <c r="A39" s="4">
        <v>0.16120000000000001</v>
      </c>
      <c r="B39" s="4">
        <v>0.255</v>
      </c>
      <c r="C39" s="5">
        <v>0.51</v>
      </c>
      <c r="D39" s="4">
        <v>0.40300000000000002</v>
      </c>
    </row>
    <row r="40" spans="1:4" x14ac:dyDescent="0.2">
      <c r="A40" s="4">
        <v>0.1668</v>
      </c>
      <c r="B40" s="4">
        <v>0.2651</v>
      </c>
      <c r="C40" s="5">
        <v>0.52</v>
      </c>
      <c r="D40" s="4">
        <v>0.41299999999999998</v>
      </c>
    </row>
    <row r="41" spans="1:4" x14ac:dyDescent="0.2">
      <c r="A41" s="4">
        <v>0.1719</v>
      </c>
      <c r="B41" s="4">
        <v>0.27510000000000001</v>
      </c>
      <c r="C41" s="5">
        <v>0.53</v>
      </c>
      <c r="D41" s="4">
        <v>0.42299999999999999</v>
      </c>
    </row>
    <row r="42" spans="1:4" x14ac:dyDescent="0.2">
      <c r="A42" s="4">
        <v>0.17730000000000001</v>
      </c>
      <c r="B42" s="4">
        <v>0.2853</v>
      </c>
      <c r="C42" s="5">
        <v>0.54</v>
      </c>
      <c r="D42" s="4">
        <v>0.433</v>
      </c>
    </row>
    <row r="43" spans="1:4" x14ac:dyDescent="0.2">
      <c r="A43" s="4">
        <v>0.18279999999999999</v>
      </c>
      <c r="B43" s="4">
        <v>0.29559999999999997</v>
      </c>
      <c r="C43" s="5">
        <v>0.55000000000000004</v>
      </c>
      <c r="D43" s="4">
        <v>0.443</v>
      </c>
    </row>
    <row r="44" spans="1:4" x14ac:dyDescent="0.2">
      <c r="A44" s="4">
        <v>0.1883</v>
      </c>
      <c r="B44" s="4">
        <v>0.30690000000000001</v>
      </c>
      <c r="C44" s="5">
        <v>0.56000000000000005</v>
      </c>
      <c r="D44" s="4">
        <v>0.45300000000000001</v>
      </c>
    </row>
    <row r="45" spans="1:4" x14ac:dyDescent="0.2">
      <c r="A45" s="4">
        <v>0.183</v>
      </c>
      <c r="B45" s="4">
        <v>0.31569999999999998</v>
      </c>
      <c r="C45" s="5">
        <v>0.56999999999999995</v>
      </c>
      <c r="D45" s="4">
        <v>0.46200000000000002</v>
      </c>
    </row>
    <row r="46" spans="1:4" x14ac:dyDescent="0.2">
      <c r="A46" s="4">
        <v>0.1988</v>
      </c>
      <c r="B46" s="4">
        <v>0.32629999999999998</v>
      </c>
      <c r="C46" s="5">
        <v>0.57999999999999996</v>
      </c>
      <c r="D46" s="4">
        <v>0.47199999999999998</v>
      </c>
    </row>
    <row r="47" spans="1:4" x14ac:dyDescent="0.2">
      <c r="A47" s="4">
        <v>0.20380000000000001</v>
      </c>
      <c r="B47" s="4">
        <v>0.33739999999999998</v>
      </c>
      <c r="C47" s="5">
        <v>0.59</v>
      </c>
      <c r="D47" s="4">
        <v>0.48199999999999998</v>
      </c>
    </row>
    <row r="48" spans="1:4" x14ac:dyDescent="0.2">
      <c r="A48" s="4">
        <v>0.20979999999999999</v>
      </c>
      <c r="B48" s="4">
        <v>0.34660000000000002</v>
      </c>
      <c r="C48" s="5">
        <v>0.6</v>
      </c>
      <c r="D48" s="4">
        <v>0.49199999999999999</v>
      </c>
    </row>
    <row r="49" spans="1:4" x14ac:dyDescent="0.2">
      <c r="A49" s="4">
        <v>0.21490000000000001</v>
      </c>
      <c r="B49" s="4">
        <v>0.3599</v>
      </c>
      <c r="C49" s="5">
        <v>0.61</v>
      </c>
      <c r="D49" s="4">
        <v>0.502</v>
      </c>
    </row>
    <row r="50" spans="1:4" x14ac:dyDescent="0.2">
      <c r="A50" s="4">
        <v>0.22020000000000001</v>
      </c>
      <c r="B50" s="4">
        <v>0.37169999999999997</v>
      </c>
      <c r="C50" s="5">
        <v>0.62</v>
      </c>
      <c r="D50" s="4">
        <v>0.51200000000000001</v>
      </c>
    </row>
    <row r="51" spans="1:4" x14ac:dyDescent="0.2">
      <c r="A51" s="4">
        <v>0.22509999999999999</v>
      </c>
      <c r="B51" s="4">
        <v>0.38279999999999997</v>
      </c>
      <c r="C51" s="5">
        <v>0.63</v>
      </c>
      <c r="D51" s="4">
        <v>0.52200000000000002</v>
      </c>
    </row>
    <row r="52" spans="1:4" x14ac:dyDescent="0.2">
      <c r="A52" s="4">
        <v>0.23</v>
      </c>
      <c r="B52" s="4">
        <v>0.39400000000000002</v>
      </c>
      <c r="C52" s="5">
        <v>0.64</v>
      </c>
      <c r="D52" s="4">
        <v>0.53100000000000003</v>
      </c>
    </row>
    <row r="53" spans="1:4" x14ac:dyDescent="0.2">
      <c r="A53" s="4">
        <v>0.2354</v>
      </c>
      <c r="B53" s="4">
        <v>0.40620000000000001</v>
      </c>
      <c r="C53" s="5">
        <v>0.65</v>
      </c>
      <c r="D53" s="4">
        <v>0.54</v>
      </c>
    </row>
    <row r="54" spans="1:4" x14ac:dyDescent="0.2">
      <c r="A54" s="4">
        <v>0.24099999999999999</v>
      </c>
      <c r="B54" s="4">
        <v>0.41620000000000001</v>
      </c>
      <c r="C54" s="5">
        <v>0.66</v>
      </c>
      <c r="D54" s="4">
        <v>0.55000000000000004</v>
      </c>
    </row>
    <row r="55" spans="1:4" x14ac:dyDescent="0.2">
      <c r="A55" s="4">
        <v>0.24610000000000001</v>
      </c>
      <c r="B55" s="4">
        <v>0.43120000000000003</v>
      </c>
      <c r="C55" s="5">
        <v>0.67</v>
      </c>
      <c r="D55" s="4">
        <v>0.55900000000000005</v>
      </c>
    </row>
    <row r="56" spans="1:4" x14ac:dyDescent="0.2">
      <c r="A56" s="4">
        <v>0.251</v>
      </c>
      <c r="B56" s="4">
        <v>0.44440000000000002</v>
      </c>
      <c r="C56" s="5">
        <v>0.68</v>
      </c>
      <c r="D56" s="4">
        <v>0.56899999999999995</v>
      </c>
    </row>
    <row r="57" spans="1:4" x14ac:dyDescent="0.2">
      <c r="A57" s="4">
        <v>0.25609999999999999</v>
      </c>
      <c r="B57" s="4">
        <v>0.45700000000000002</v>
      </c>
      <c r="C57" s="5">
        <v>0.69</v>
      </c>
      <c r="D57" s="4">
        <v>0.57799999999999996</v>
      </c>
    </row>
    <row r="58" spans="1:4" x14ac:dyDescent="0.2">
      <c r="A58" s="4">
        <v>0.26069999999999999</v>
      </c>
      <c r="B58" s="4">
        <v>0.47</v>
      </c>
      <c r="C58" s="5">
        <v>0.7</v>
      </c>
      <c r="D58" s="4">
        <v>0.58699999999999997</v>
      </c>
    </row>
    <row r="59" spans="1:4" x14ac:dyDescent="0.2">
      <c r="A59" s="4">
        <v>0.26590000000000003</v>
      </c>
      <c r="B59" s="4">
        <v>0.48309999999999997</v>
      </c>
      <c r="C59" s="5">
        <v>0.71</v>
      </c>
      <c r="D59" s="4">
        <v>0.69599999999999995</v>
      </c>
    </row>
    <row r="60" spans="1:4" x14ac:dyDescent="0.2">
      <c r="A60" s="4">
        <v>0.27050000000000002</v>
      </c>
      <c r="B60" s="4">
        <v>0.49869999999999998</v>
      </c>
      <c r="C60" s="5">
        <v>0.72</v>
      </c>
      <c r="D60" s="4">
        <v>0.60499999999999998</v>
      </c>
    </row>
    <row r="61" spans="1:4" x14ac:dyDescent="0.2">
      <c r="A61" s="4">
        <v>0.27510000000000001</v>
      </c>
      <c r="B61" s="4">
        <v>0.51080000000000003</v>
      </c>
      <c r="C61" s="5">
        <v>0.73</v>
      </c>
      <c r="D61" s="4">
        <v>0.61399999999999999</v>
      </c>
    </row>
    <row r="62" spans="1:4" x14ac:dyDescent="0.2">
      <c r="A62" s="4">
        <v>0.27979999999999999</v>
      </c>
      <c r="B62" s="4">
        <v>0.52400000000000002</v>
      </c>
      <c r="C62" s="5">
        <v>0.74</v>
      </c>
      <c r="D62" s="4">
        <v>0.623</v>
      </c>
    </row>
    <row r="63" spans="1:4" x14ac:dyDescent="0.2">
      <c r="A63" s="4">
        <v>0.28449999999999998</v>
      </c>
      <c r="B63" s="4">
        <v>0.54</v>
      </c>
      <c r="C63" s="5">
        <v>0.75</v>
      </c>
      <c r="D63" s="4">
        <v>0.63200000000000001</v>
      </c>
    </row>
    <row r="64" spans="1:4" x14ac:dyDescent="0.2">
      <c r="A64" s="4">
        <v>0.28810000000000002</v>
      </c>
      <c r="B64" s="4">
        <v>0.55430000000000001</v>
      </c>
      <c r="C64" s="5">
        <v>0.76</v>
      </c>
      <c r="D64" s="4">
        <v>0.64</v>
      </c>
    </row>
    <row r="65" spans="1:4" x14ac:dyDescent="0.2">
      <c r="A65" s="4">
        <v>0.2928</v>
      </c>
      <c r="B65" s="4">
        <v>0.55989999999999995</v>
      </c>
      <c r="C65" s="5">
        <v>0.77</v>
      </c>
      <c r="D65" s="4">
        <v>0.64900000000000002</v>
      </c>
    </row>
    <row r="66" spans="1:4" x14ac:dyDescent="0.2">
      <c r="A66" s="4">
        <v>0.29699999999999999</v>
      </c>
      <c r="B66" s="4">
        <v>0.60509999999999997</v>
      </c>
      <c r="C66" s="5">
        <v>0.78</v>
      </c>
      <c r="D66" s="4">
        <v>0.65700000000000003</v>
      </c>
    </row>
    <row r="67" spans="1:4" x14ac:dyDescent="0.2">
      <c r="A67" s="4">
        <v>0.30109999999999998</v>
      </c>
      <c r="B67" s="4">
        <v>0.60199999999999998</v>
      </c>
      <c r="C67" s="5">
        <v>0.79</v>
      </c>
      <c r="D67" s="4">
        <v>0.66600000000000004</v>
      </c>
    </row>
    <row r="68" spans="1:4" x14ac:dyDescent="0.2">
      <c r="A68" s="4">
        <v>0.30470000000000003</v>
      </c>
      <c r="B68" s="4">
        <v>0.61850000000000005</v>
      </c>
      <c r="C68" s="5">
        <v>0.8</v>
      </c>
      <c r="D68" s="4">
        <v>0.67400000000000004</v>
      </c>
    </row>
    <row r="69" spans="1:4" x14ac:dyDescent="0.2">
      <c r="A69" s="4">
        <v>0.30790000000000001</v>
      </c>
      <c r="B69" s="4">
        <v>0.63480000000000003</v>
      </c>
      <c r="C69" s="5">
        <v>0.81</v>
      </c>
      <c r="D69" s="4">
        <v>0.68100000000000005</v>
      </c>
    </row>
    <row r="70" spans="1:4" x14ac:dyDescent="0.2">
      <c r="A70" s="4">
        <v>0.3115</v>
      </c>
      <c r="B70" s="4">
        <v>0.65259999999999996</v>
      </c>
      <c r="C70" s="5">
        <v>0.82</v>
      </c>
      <c r="D70" s="4">
        <v>0.68899999999999995</v>
      </c>
    </row>
    <row r="71" spans="1:4" x14ac:dyDescent="0.2">
      <c r="A71" s="4">
        <v>0.31509999999999999</v>
      </c>
      <c r="B71" s="4">
        <v>0.6714</v>
      </c>
      <c r="C71" s="5">
        <v>0.83</v>
      </c>
      <c r="D71" s="4">
        <v>0.69699999999999995</v>
      </c>
    </row>
    <row r="72" spans="1:4" x14ac:dyDescent="0.2">
      <c r="A72" s="4">
        <v>0.31830000000000003</v>
      </c>
      <c r="B72" s="4">
        <v>0.68979999999999997</v>
      </c>
      <c r="C72" s="5">
        <v>0.84</v>
      </c>
      <c r="D72" s="4">
        <v>0.70399999999999996</v>
      </c>
    </row>
    <row r="73" spans="1:4" x14ac:dyDescent="0.2">
      <c r="A73" s="4">
        <v>0.32119999999999999</v>
      </c>
      <c r="B73" s="4">
        <v>0.71060000000000001</v>
      </c>
      <c r="C73" s="5">
        <v>0.85</v>
      </c>
      <c r="D73" s="4">
        <v>0.71199999999999997</v>
      </c>
    </row>
    <row r="74" spans="1:4" x14ac:dyDescent="0.2">
      <c r="A74" s="4">
        <v>0.32429999999999998</v>
      </c>
      <c r="B74" s="4">
        <v>0.72699999999999998</v>
      </c>
      <c r="C74" s="5">
        <v>0.86</v>
      </c>
      <c r="D74" s="4">
        <v>0.71899999999999997</v>
      </c>
    </row>
    <row r="75" spans="1:4" x14ac:dyDescent="0.2">
      <c r="A75" s="4">
        <v>0.32629999999999998</v>
      </c>
      <c r="B75" s="4">
        <v>0.75270000000000004</v>
      </c>
      <c r="C75" s="5">
        <v>0.87</v>
      </c>
      <c r="D75" s="4">
        <v>0.72499999999999998</v>
      </c>
    </row>
    <row r="76" spans="1:4" x14ac:dyDescent="0.2">
      <c r="A76" s="4">
        <v>0.32669999999999999</v>
      </c>
      <c r="B76" s="4">
        <v>0.77669999999999995</v>
      </c>
      <c r="C76" s="5">
        <v>0.88</v>
      </c>
      <c r="D76" s="4">
        <v>0.73199999999999998</v>
      </c>
    </row>
    <row r="77" spans="1:4" x14ac:dyDescent="0.2">
      <c r="A77" s="4">
        <v>0.33</v>
      </c>
      <c r="B77" s="4">
        <v>0.80169999999999997</v>
      </c>
      <c r="C77" s="5">
        <v>0.89</v>
      </c>
      <c r="D77" s="4">
        <v>0.73799999999999999</v>
      </c>
    </row>
    <row r="78" spans="1:4" x14ac:dyDescent="0.2"/>
  </sheetData>
  <sheetProtection password="CAC7" sheet="1" objects="1" scenarios="1"/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9" sqref="B9"/>
    </sheetView>
  </sheetViews>
  <sheetFormatPr defaultRowHeight="12.75" x14ac:dyDescent="0.2"/>
  <cols>
    <col min="1" max="1" width="10.140625" style="1" bestFit="1" customWidth="1"/>
    <col min="2" max="2" width="10.140625" style="1" customWidth="1"/>
  </cols>
  <sheetData>
    <row r="1" spans="1:2" x14ac:dyDescent="0.2">
      <c r="A1" s="1" t="s">
        <v>485</v>
      </c>
      <c r="B1" s="1" t="s">
        <v>486</v>
      </c>
    </row>
    <row r="2" spans="1:2" x14ac:dyDescent="0.2">
      <c r="A2" s="63">
        <v>0.25</v>
      </c>
      <c r="B2" s="63">
        <v>0.4</v>
      </c>
    </row>
    <row r="3" spans="1:2" x14ac:dyDescent="0.2">
      <c r="A3" s="63">
        <v>0.4</v>
      </c>
      <c r="B3" s="63">
        <v>0.5</v>
      </c>
    </row>
    <row r="4" spans="1:2" x14ac:dyDescent="0.2">
      <c r="A4" s="63">
        <v>0.6</v>
      </c>
      <c r="B4" s="63">
        <v>0.6</v>
      </c>
    </row>
    <row r="5" spans="1:2" x14ac:dyDescent="0.2">
      <c r="A5" s="63">
        <v>0.8</v>
      </c>
      <c r="B5" s="63">
        <v>0.8</v>
      </c>
    </row>
    <row r="6" spans="1:2" x14ac:dyDescent="0.2">
      <c r="A6" s="63">
        <v>1</v>
      </c>
      <c r="B6" s="63">
        <v>1</v>
      </c>
    </row>
    <row r="7" spans="1:2" x14ac:dyDescent="0.2">
      <c r="B7" s="63">
        <v>1.2</v>
      </c>
    </row>
    <row r="8" spans="1:2" x14ac:dyDescent="0.2">
      <c r="B8" s="63">
        <v>1.5</v>
      </c>
    </row>
    <row r="9" spans="1:2" x14ac:dyDescent="0.2">
      <c r="B9" s="63">
        <v>2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0"/>
  <sheetViews>
    <sheetView showGridLines="0" zoomScaleNormal="100" workbookViewId="0"/>
  </sheetViews>
  <sheetFormatPr defaultColWidth="0" defaultRowHeight="12.75" zeroHeight="1" x14ac:dyDescent="0.2"/>
  <cols>
    <col min="1" max="1" width="4.85546875" style="38" customWidth="1"/>
    <col min="2" max="2" width="25.85546875" style="38" bestFit="1" customWidth="1"/>
    <col min="3" max="3" width="9.140625" style="38" customWidth="1"/>
    <col min="4" max="4" width="8.7109375" style="38" customWidth="1"/>
    <col min="5" max="18" width="3.28515625" style="38" customWidth="1"/>
    <col min="19" max="22" width="3.28515625" style="38" hidden="1" customWidth="1"/>
    <col min="23" max="16384" width="9.140625" style="38" hidden="1"/>
  </cols>
  <sheetData>
    <row r="1" spans="1:24" ht="6" customHeight="1" x14ac:dyDescent="0.2"/>
    <row r="2" spans="1:24" ht="18" x14ac:dyDescent="0.25">
      <c r="A2" s="28" t="s">
        <v>479</v>
      </c>
    </row>
    <row r="3" spans="1:24" ht="6" customHeight="1" thickBot="1" x14ac:dyDescent="0.25"/>
    <row r="4" spans="1:24" ht="18" customHeight="1" thickBot="1" x14ac:dyDescent="0.25">
      <c r="B4" s="56" t="s">
        <v>483</v>
      </c>
      <c r="C4" s="55">
        <v>30</v>
      </c>
      <c r="W4" s="38">
        <v>45</v>
      </c>
      <c r="X4" s="38">
        <v>30</v>
      </c>
    </row>
    <row r="5" spans="1:24" x14ac:dyDescent="0.2">
      <c r="A5" s="64" t="s">
        <v>480</v>
      </c>
      <c r="B5" s="54" t="s">
        <v>464</v>
      </c>
      <c r="C5" s="57">
        <f>HLOOKUP($C$4,$W$4:$Z$9,$V5,0)</f>
        <v>0.26</v>
      </c>
      <c r="V5" s="38">
        <v>2</v>
      </c>
      <c r="W5" s="38">
        <v>0.3</v>
      </c>
      <c r="X5" s="38">
        <v>0.26</v>
      </c>
    </row>
    <row r="6" spans="1:24" x14ac:dyDescent="0.2">
      <c r="A6" s="64"/>
      <c r="B6" s="40" t="s">
        <v>465</v>
      </c>
      <c r="C6" s="58">
        <f>HLOOKUP($C$4,$W$4:$Z$9,$V6,0)</f>
        <v>0.3</v>
      </c>
      <c r="E6" s="39"/>
      <c r="V6" s="38">
        <v>3</v>
      </c>
      <c r="W6" s="38">
        <v>0.45</v>
      </c>
      <c r="X6" s="38">
        <v>0.3</v>
      </c>
    </row>
    <row r="7" spans="1:24" x14ac:dyDescent="0.2">
      <c r="A7" s="64"/>
      <c r="B7" s="40" t="s">
        <v>466</v>
      </c>
      <c r="C7" s="58">
        <f>HLOOKUP($C$4,$W$4:$Z$9,$V7,0)</f>
        <v>0.18</v>
      </c>
      <c r="Q7" s="65">
        <f>C8*100</f>
        <v>13</v>
      </c>
      <c r="V7" s="38">
        <v>4</v>
      </c>
      <c r="W7" s="38">
        <v>0.33</v>
      </c>
      <c r="X7" s="38">
        <v>0.18</v>
      </c>
    </row>
    <row r="8" spans="1:24" x14ac:dyDescent="0.2">
      <c r="A8" s="64"/>
      <c r="B8" s="40" t="s">
        <v>467</v>
      </c>
      <c r="C8" s="58">
        <f>HLOOKUP($C$4,$W$4:$Z$9,$V8,0)</f>
        <v>0.13</v>
      </c>
      <c r="Q8" s="65"/>
      <c r="V8" s="38">
        <v>5</v>
      </c>
      <c r="W8" s="38">
        <v>0.17</v>
      </c>
      <c r="X8" s="38">
        <v>0.13</v>
      </c>
    </row>
    <row r="9" spans="1:24" x14ac:dyDescent="0.2">
      <c r="A9" s="64"/>
      <c r="B9" s="40" t="s">
        <v>468</v>
      </c>
      <c r="C9" s="58">
        <f>HLOOKUP($C$4,$W$4:$Z$9,$V9,0)</f>
        <v>0.04</v>
      </c>
      <c r="Q9" s="65"/>
      <c r="V9" s="38">
        <v>6</v>
      </c>
      <c r="W9" s="38">
        <v>7.0000000000000007E-2</v>
      </c>
      <c r="X9" s="38">
        <v>0.04</v>
      </c>
    </row>
    <row r="10" spans="1:24" x14ac:dyDescent="0.2">
      <c r="A10" s="64"/>
      <c r="B10" s="40" t="s">
        <v>469</v>
      </c>
      <c r="C10" s="41">
        <f>C9/C7</f>
        <v>0.22222222222222224</v>
      </c>
      <c r="Q10" s="65"/>
      <c r="R10" s="65">
        <f>C5*100</f>
        <v>26</v>
      </c>
    </row>
    <row r="11" spans="1:24" x14ac:dyDescent="0.2">
      <c r="A11" s="64" t="s">
        <v>481</v>
      </c>
      <c r="B11" s="40" t="s">
        <v>470</v>
      </c>
      <c r="C11" s="59" t="s">
        <v>484</v>
      </c>
      <c r="Q11" s="65"/>
      <c r="R11" s="65"/>
    </row>
    <row r="12" spans="1:24" x14ac:dyDescent="0.2">
      <c r="A12" s="64"/>
      <c r="B12" s="40" t="s">
        <v>471</v>
      </c>
      <c r="C12" s="60">
        <v>2</v>
      </c>
      <c r="M12" s="65">
        <f>C9*100</f>
        <v>4</v>
      </c>
      <c r="Q12" s="65"/>
      <c r="R12" s="65"/>
    </row>
    <row r="13" spans="1:24" x14ac:dyDescent="0.2">
      <c r="A13" s="64"/>
      <c r="B13" s="40" t="s">
        <v>472</v>
      </c>
      <c r="C13" s="61">
        <v>0.02</v>
      </c>
      <c r="E13" s="65">
        <f>(C5-C8+C9)*100</f>
        <v>17</v>
      </c>
      <c r="M13" s="65"/>
      <c r="R13" s="65"/>
    </row>
    <row r="14" spans="1:24" x14ac:dyDescent="0.2">
      <c r="A14" s="64" t="s">
        <v>458</v>
      </c>
      <c r="B14" s="40" t="s">
        <v>463</v>
      </c>
      <c r="C14" s="42">
        <f>IF(OR($C$11="Poliédrico",$C$11="Paver"),0.02,0.015)</f>
        <v>0.02</v>
      </c>
      <c r="E14" s="65"/>
      <c r="M14" s="65"/>
      <c r="R14" s="65"/>
    </row>
    <row r="15" spans="1:24" x14ac:dyDescent="0.2">
      <c r="A15" s="64"/>
      <c r="B15" s="40" t="s">
        <v>473</v>
      </c>
      <c r="C15" s="43">
        <f>C9+IF(C13*C12&gt;C8-C9,C8-C9,C12*C13)</f>
        <v>0.08</v>
      </c>
      <c r="E15" s="65"/>
    </row>
    <row r="16" spans="1:24" x14ac:dyDescent="0.2">
      <c r="A16" s="64"/>
      <c r="B16" s="40" t="s">
        <v>474</v>
      </c>
      <c r="C16" s="43">
        <f>C15+((C7*C10)^2+C7^2)^0.5+((((C15-C9))/C13)^2+(C15-C9)^2)^0.5</f>
        <v>2.2647908491538553</v>
      </c>
      <c r="D16" s="45"/>
      <c r="E16" s="65"/>
    </row>
    <row r="17" spans="1:14" x14ac:dyDescent="0.2">
      <c r="A17" s="64"/>
      <c r="B17" s="40" t="s">
        <v>475</v>
      </c>
      <c r="C17" s="43">
        <f>C7*C9/2+((C15-C9)*((C15-C9)/C13))/2</f>
        <v>4.36E-2</v>
      </c>
    </row>
    <row r="18" spans="1:14" x14ac:dyDescent="0.2">
      <c r="A18" s="64"/>
      <c r="B18" s="40" t="s">
        <v>476</v>
      </c>
      <c r="C18" s="43">
        <f>C17/C16</f>
        <v>1.9251225788151399E-2</v>
      </c>
      <c r="G18" s="66">
        <f>C7*100</f>
        <v>18</v>
      </c>
      <c r="H18" s="66"/>
      <c r="I18" s="66"/>
      <c r="J18" s="66"/>
      <c r="M18" s="66">
        <f>C6*100-G18</f>
        <v>12</v>
      </c>
      <c r="N18" s="66"/>
    </row>
    <row r="19" spans="1:14" x14ac:dyDescent="0.2">
      <c r="A19" s="64"/>
      <c r="B19" s="44" t="s">
        <v>477</v>
      </c>
      <c r="C19" s="62">
        <v>60</v>
      </c>
    </row>
    <row r="20" spans="1:14" ht="6" customHeight="1" x14ac:dyDescent="0.2"/>
  </sheetData>
  <mergeCells count="9">
    <mergeCell ref="A5:A10"/>
    <mergeCell ref="A11:A13"/>
    <mergeCell ref="A14:A19"/>
    <mergeCell ref="Q7:Q12"/>
    <mergeCell ref="R10:R14"/>
    <mergeCell ref="E13:E16"/>
    <mergeCell ref="G18:J18"/>
    <mergeCell ref="M18:N18"/>
    <mergeCell ref="M12:M14"/>
  </mergeCells>
  <phoneticPr fontId="0" type="noConversion"/>
  <dataValidations count="3">
    <dataValidation type="list" allowBlank="1" showInputMessage="1" showErrorMessage="1" sqref="C11">
      <formula1>"CBUQ,T.S.,Poliédrico,Paver"</formula1>
    </dataValidation>
    <dataValidation type="decimal" operator="lessThanOrEqual" allowBlank="1" showInputMessage="1" showErrorMessage="1" errorTitle="Verificação" error="Com essa Faixa molhada e incliação do pavimento, a altura molhada ultrapassará a altura do meio fio." sqref="C12">
      <formula1>(C8-C9)/C13</formula1>
    </dataValidation>
    <dataValidation type="list" allowBlank="1" showInputMessage="1" showErrorMessage="1" sqref="C4">
      <formula1>"30,45"</formula1>
    </dataValidation>
  </dataValidations>
  <pageMargins left="0.78740157499999996" right="0.78740157499999996" top="0.984251969" bottom="0.984251969" header="0.49212598499999999" footer="0.49212598499999999"/>
  <pageSetup paperSize="9" scale="130" orientation="portrait" r:id="rId1"/>
  <headerFooter alignWithMargins="0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151"/>
  <sheetViews>
    <sheetView showGridLines="0" tabSelected="1" topLeftCell="E1" zoomScaleNormal="100" zoomScaleSheetLayoutView="100" workbookViewId="0">
      <pane ySplit="7" topLeftCell="A8" activePane="bottomLeft" state="frozen"/>
      <selection pane="bottomLeft" sqref="A1:AH11"/>
    </sheetView>
  </sheetViews>
  <sheetFormatPr defaultColWidth="0" defaultRowHeight="12.75" zeroHeight="1" x14ac:dyDescent="0.2"/>
  <cols>
    <col min="1" max="1" width="15.28515625" style="8" customWidth="1"/>
    <col min="2" max="16" width="7.42578125" style="8" customWidth="1"/>
    <col min="17" max="17" width="8.28515625" style="8" customWidth="1"/>
    <col min="18" max="24" width="7.42578125" style="8" customWidth="1"/>
    <col min="25" max="25" width="8.28515625" style="8" customWidth="1"/>
    <col min="26" max="30" width="7.42578125" style="9" customWidth="1"/>
    <col min="31" max="33" width="7.42578125" style="8" customWidth="1"/>
    <col min="34" max="34" width="28" style="8" customWidth="1"/>
    <col min="35" max="35" width="3.28515625" style="19" customWidth="1"/>
    <col min="36" max="54" width="7.42578125" style="46" customWidth="1"/>
    <col min="55" max="55" width="3.28515625" style="19" customWidth="1"/>
    <col min="56" max="16384" width="0" style="8" hidden="1"/>
  </cols>
  <sheetData>
    <row r="1" spans="1:54" x14ac:dyDescent="0.2">
      <c r="A1" s="53" t="s">
        <v>455</v>
      </c>
      <c r="B1" s="52" t="s">
        <v>87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31"/>
      <c r="AA1" s="49"/>
      <c r="AB1" s="31"/>
      <c r="AC1" s="50"/>
      <c r="AD1" s="50"/>
      <c r="AE1" s="19"/>
      <c r="AF1" s="19"/>
      <c r="AG1" s="19"/>
      <c r="AH1" s="19"/>
      <c r="AJ1" s="51"/>
      <c r="AK1" s="51"/>
      <c r="AL1" s="51"/>
      <c r="AM1" s="51"/>
      <c r="AN1" s="51"/>
      <c r="AO1" s="51"/>
      <c r="AP1" s="51"/>
      <c r="AQ1" s="51"/>
      <c r="AR1" s="51"/>
      <c r="AS1" s="51"/>
      <c r="AT1" s="51"/>
      <c r="AU1" s="51"/>
      <c r="AV1" s="51"/>
      <c r="AW1" s="51"/>
      <c r="AX1" s="51"/>
      <c r="AY1" s="51"/>
      <c r="AZ1" s="51"/>
      <c r="BA1" s="51"/>
      <c r="BB1" s="51"/>
    </row>
    <row r="2" spans="1:54" ht="18" x14ac:dyDescent="0.25">
      <c r="A2" s="28" t="s">
        <v>487</v>
      </c>
      <c r="AA2" s="33"/>
      <c r="AC2" s="34"/>
      <c r="AD2" s="34"/>
    </row>
    <row r="3" spans="1:54" ht="18" x14ac:dyDescent="0.25">
      <c r="A3" s="28" t="s">
        <v>496</v>
      </c>
      <c r="AA3" s="33"/>
      <c r="AC3" s="34"/>
      <c r="AD3" s="34"/>
    </row>
    <row r="4" spans="1:54" ht="6" customHeight="1" x14ac:dyDescent="0.2">
      <c r="AA4" s="33"/>
      <c r="AB4" s="35"/>
      <c r="AC4" s="34"/>
      <c r="AD4" s="34"/>
    </row>
    <row r="5" spans="1:54" x14ac:dyDescent="0.2">
      <c r="A5" s="15" t="s">
        <v>426</v>
      </c>
      <c r="B5" s="15"/>
      <c r="C5" s="15"/>
      <c r="D5" s="15"/>
      <c r="E5" s="15"/>
      <c r="F5" s="15"/>
      <c r="G5" s="15"/>
      <c r="H5" s="15"/>
      <c r="I5" s="15"/>
      <c r="J5" s="15"/>
      <c r="K5" s="16"/>
      <c r="L5" s="16"/>
      <c r="M5" s="15" t="s">
        <v>4</v>
      </c>
      <c r="N5" s="15"/>
      <c r="O5" s="15"/>
      <c r="P5" s="15"/>
      <c r="Q5" s="15" t="s">
        <v>0</v>
      </c>
      <c r="R5" s="15"/>
      <c r="S5" s="15"/>
      <c r="T5" s="15"/>
      <c r="U5" s="15"/>
      <c r="V5" s="15"/>
      <c r="W5" s="15"/>
      <c r="X5" s="15"/>
      <c r="Y5" s="15"/>
      <c r="Z5" s="37" t="s">
        <v>458</v>
      </c>
      <c r="AA5" s="37"/>
      <c r="AB5" s="37"/>
      <c r="AC5" s="37"/>
      <c r="AD5" s="37" t="s">
        <v>3</v>
      </c>
      <c r="AE5" s="15"/>
      <c r="AF5" s="15"/>
      <c r="AG5" s="15"/>
      <c r="AH5" s="71" t="s">
        <v>456</v>
      </c>
      <c r="AI5" s="20"/>
      <c r="AJ5" s="47" t="s">
        <v>452</v>
      </c>
      <c r="AK5" s="47"/>
      <c r="AL5" s="47"/>
      <c r="AM5" s="47"/>
      <c r="AN5" s="47"/>
      <c r="AO5" s="47"/>
      <c r="AP5" s="47" t="s">
        <v>451</v>
      </c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</row>
    <row r="6" spans="1:54" ht="12.75" customHeight="1" x14ac:dyDescent="0.2">
      <c r="A6" s="15" t="s">
        <v>430</v>
      </c>
      <c r="B6" s="15"/>
      <c r="C6" s="15"/>
      <c r="D6" s="15" t="s">
        <v>435</v>
      </c>
      <c r="E6" s="15"/>
      <c r="F6" s="15" t="s">
        <v>436</v>
      </c>
      <c r="G6" s="15"/>
      <c r="H6" s="15" t="s">
        <v>431</v>
      </c>
      <c r="I6" s="15"/>
      <c r="J6" s="67" t="s">
        <v>434</v>
      </c>
      <c r="K6" s="67" t="s">
        <v>461</v>
      </c>
      <c r="L6" s="67" t="s">
        <v>460</v>
      </c>
      <c r="M6" s="67" t="s">
        <v>437</v>
      </c>
      <c r="N6" s="67" t="s">
        <v>438</v>
      </c>
      <c r="O6" s="67" t="s">
        <v>439</v>
      </c>
      <c r="P6" s="67" t="s">
        <v>440</v>
      </c>
      <c r="Q6" s="15" t="s">
        <v>1</v>
      </c>
      <c r="R6" s="15"/>
      <c r="S6" s="15" t="s">
        <v>2</v>
      </c>
      <c r="T6" s="15"/>
      <c r="U6" s="15"/>
      <c r="V6" s="15"/>
      <c r="W6" s="15"/>
      <c r="X6" s="15"/>
      <c r="Y6" s="67" t="s">
        <v>449</v>
      </c>
      <c r="Z6" s="75" t="s">
        <v>478</v>
      </c>
      <c r="AA6" s="75" t="s">
        <v>459</v>
      </c>
      <c r="AB6" s="75" t="s">
        <v>450</v>
      </c>
      <c r="AC6" s="75" t="s">
        <v>462</v>
      </c>
      <c r="AD6" s="67" t="s">
        <v>482</v>
      </c>
      <c r="AE6" s="67" t="s">
        <v>453</v>
      </c>
      <c r="AF6" s="67" t="s">
        <v>454</v>
      </c>
      <c r="AG6" s="67" t="s">
        <v>450</v>
      </c>
      <c r="AH6" s="74"/>
      <c r="AI6" s="21"/>
      <c r="AJ6" s="69" t="s">
        <v>21</v>
      </c>
      <c r="AK6" s="69" t="s">
        <v>18</v>
      </c>
      <c r="AL6" s="69" t="s">
        <v>19</v>
      </c>
      <c r="AM6" s="69" t="s">
        <v>20</v>
      </c>
      <c r="AN6" s="69" t="s">
        <v>23</v>
      </c>
      <c r="AO6" s="72" t="s">
        <v>457</v>
      </c>
      <c r="AP6" s="69" t="s">
        <v>5</v>
      </c>
      <c r="AQ6" s="69" t="s">
        <v>6</v>
      </c>
      <c r="AR6" s="69" t="s">
        <v>7</v>
      </c>
      <c r="AS6" s="69" t="s">
        <v>8</v>
      </c>
      <c r="AT6" s="69" t="s">
        <v>9</v>
      </c>
      <c r="AU6" s="69" t="s">
        <v>10</v>
      </c>
      <c r="AV6" s="69" t="s">
        <v>11</v>
      </c>
      <c r="AW6" s="69" t="s">
        <v>12</v>
      </c>
      <c r="AX6" s="69" t="s">
        <v>13</v>
      </c>
      <c r="AY6" s="69" t="s">
        <v>14</v>
      </c>
      <c r="AZ6" s="69" t="s">
        <v>15</v>
      </c>
      <c r="BA6" s="69" t="s">
        <v>16</v>
      </c>
      <c r="BB6" s="69" t="s">
        <v>17</v>
      </c>
    </row>
    <row r="7" spans="1:54" ht="38.25" x14ac:dyDescent="0.2">
      <c r="A7" s="18" t="s">
        <v>427</v>
      </c>
      <c r="B7" s="18" t="s">
        <v>429</v>
      </c>
      <c r="C7" s="18" t="s">
        <v>428</v>
      </c>
      <c r="D7" s="17" t="s">
        <v>432</v>
      </c>
      <c r="E7" s="17" t="s">
        <v>433</v>
      </c>
      <c r="F7" s="17" t="s">
        <v>432</v>
      </c>
      <c r="G7" s="17" t="s">
        <v>433</v>
      </c>
      <c r="H7" s="17" t="s">
        <v>432</v>
      </c>
      <c r="I7" s="17" t="s">
        <v>433</v>
      </c>
      <c r="J7" s="68"/>
      <c r="K7" s="71"/>
      <c r="L7" s="71"/>
      <c r="M7" s="68"/>
      <c r="N7" s="68"/>
      <c r="O7" s="68"/>
      <c r="P7" s="68"/>
      <c r="Q7" s="17" t="s">
        <v>441</v>
      </c>
      <c r="R7" s="17" t="s">
        <v>442</v>
      </c>
      <c r="S7" s="17" t="s">
        <v>443</v>
      </c>
      <c r="T7" s="17" t="s">
        <v>444</v>
      </c>
      <c r="U7" s="17" t="s">
        <v>445</v>
      </c>
      <c r="V7" s="17" t="s">
        <v>446</v>
      </c>
      <c r="W7" s="17" t="s">
        <v>447</v>
      </c>
      <c r="X7" s="17" t="s">
        <v>448</v>
      </c>
      <c r="Y7" s="68"/>
      <c r="Z7" s="75"/>
      <c r="AA7" s="76"/>
      <c r="AB7" s="76"/>
      <c r="AC7" s="76"/>
      <c r="AD7" s="68"/>
      <c r="AE7" s="68"/>
      <c r="AF7" s="68"/>
      <c r="AG7" s="68"/>
      <c r="AH7" s="74"/>
      <c r="AI7" s="21"/>
      <c r="AJ7" s="70"/>
      <c r="AK7" s="70"/>
      <c r="AL7" s="70"/>
      <c r="AM7" s="70"/>
      <c r="AN7" s="70"/>
      <c r="AO7" s="73"/>
      <c r="AP7" s="70"/>
      <c r="AQ7" s="70"/>
      <c r="AR7" s="70"/>
      <c r="AS7" s="70"/>
      <c r="AT7" s="70"/>
      <c r="AU7" s="70"/>
      <c r="AV7" s="70"/>
      <c r="AW7" s="70"/>
      <c r="AX7" s="70"/>
      <c r="AY7" s="70"/>
      <c r="AZ7" s="70"/>
      <c r="BA7" s="70"/>
      <c r="BB7" s="70"/>
    </row>
    <row r="8" spans="1:54" x14ac:dyDescent="0.2">
      <c r="A8" s="30" t="s">
        <v>488</v>
      </c>
      <c r="B8" s="23" t="s">
        <v>489</v>
      </c>
      <c r="C8" s="23" t="s">
        <v>490</v>
      </c>
      <c r="D8" s="24">
        <v>568</v>
      </c>
      <c r="E8" s="24">
        <v>566.5</v>
      </c>
      <c r="F8" s="24">
        <v>1.4</v>
      </c>
      <c r="G8" s="24">
        <v>1</v>
      </c>
      <c r="H8" s="10">
        <f>IF(AND($B8="",$C8=""),"",D8-F8-$AE8)</f>
        <v>566.20000000000005</v>
      </c>
      <c r="I8" s="10">
        <f>IF(AND($B8="",$C8=""),"",E8-G8-$AE8)</f>
        <v>565.1</v>
      </c>
      <c r="J8" s="24">
        <f>10.7+17.2</f>
        <v>27.9</v>
      </c>
      <c r="K8" s="13">
        <f>IF(AND($B8="",$C8=""),"",(D8-E8)/J8)</f>
        <v>5.3763440860215055E-2</v>
      </c>
      <c r="L8" s="13">
        <f>IF(AND($B8="",$C8=""),"",(H8-I8)/J8)</f>
        <v>3.9426523297491856E-2</v>
      </c>
      <c r="M8" s="25">
        <v>569.70000000000005</v>
      </c>
      <c r="N8" s="25">
        <v>563</v>
      </c>
      <c r="O8" s="22">
        <v>0.14876</v>
      </c>
      <c r="P8" s="11">
        <f>IF(AND($B8="",$C8=""),"",M8-N8)</f>
        <v>6.7000000000000455</v>
      </c>
      <c r="Q8" s="26">
        <v>1851.7</v>
      </c>
      <c r="R8" s="22">
        <v>0.6</v>
      </c>
      <c r="S8" s="29">
        <f>IF(AND($B8="",$C8=""),"",IF(OR(ISTEXT(S7),S7=""),Q8/10000,Q8/10000+S7))</f>
        <v>0.18517</v>
      </c>
      <c r="T8" s="12">
        <f>IF(AND($B8="",$C8=""),"",IF((Q8/10000)&lt;1,1,(Q8/10000)^(-0.15)))</f>
        <v>1</v>
      </c>
      <c r="U8" s="12">
        <f>IF(AND($B8="",$C8=""),"",IF(57*(O8^3/P8)^0.385&lt;10,10,57*(O8^3/P8)^0.385))</f>
        <v>10</v>
      </c>
      <c r="V8" s="12">
        <f>IF(AND($B8="",$C8=""),"",HLOOKUP(VLOOKUP($B$1,'Cidade-ER'!$A:$B,2,0),$AP$6:$BB8,ROW()-5,0))</f>
        <v>142.30143433061278</v>
      </c>
      <c r="W8" s="12">
        <f>IF(AND($B8="",$C8=""),"",0.0725*R8*(V8*U8)^(1/3))</f>
        <v>0.48928174897129639</v>
      </c>
      <c r="X8" s="12">
        <f>IF(AND($B8="",$C8=""),"",(Q8/10000)*T8*V8*W8*2.778)</f>
        <v>35.815511812074952</v>
      </c>
      <c r="Y8" s="14">
        <f>IF(AND($B8="",$C8=""),"",IF(OR(ISTEXT(Y7),Y7=""),X8,X8+Y7))</f>
        <v>35.815511812074952</v>
      </c>
      <c r="Z8" s="12">
        <f>IF(AND($B8="",$C8=""),"",IF(AC7=0,X8+Z7,X8))</f>
        <v>35.815511812074952</v>
      </c>
      <c r="AA8" s="12">
        <f>IF(AND($B8="",$C8=""),"",(Sarjeta!$C$17^(5/3))*(Sarjeta!$C$16^(-2/3))*(ABS($K8)^0.5)/Sarjeta!$C$14*1000*2)</f>
        <v>72.616549519770473</v>
      </c>
      <c r="AB8" s="12">
        <f>IF(AND($B8="",$C8=""),"",(Sarjeta!$C$17/Sarjeta!$C$16)^(2/3)*(ABS($K8)^0.5)/Sarjeta!$C$14)</f>
        <v>0.83275859541021258</v>
      </c>
      <c r="AC8" s="36">
        <f>IF(AND($B8="",$C8=""),"",IF(Z8&lt;AA8,0,MAX(ROUND(Z8/AA8,0)*2,ROUNDUP(ROUND(Z8/Sarjeta!$C$19,0)/2,0)*2)))</f>
        <v>0</v>
      </c>
      <c r="AD8" s="26">
        <v>1</v>
      </c>
      <c r="AE8" s="27">
        <v>0.4</v>
      </c>
      <c r="AF8" s="32">
        <f>IF(OR($AE8="",AND($B8="",$C8="")),"",IF(ISERROR(VLOOKUP(AL8,Coeficientes!$A:$C,3,1)),0.05,VLOOKUP(AL8,Coeficientes!$A:$C,3,1)))</f>
        <v>0.21</v>
      </c>
      <c r="AG8" s="12">
        <f>IF(OR(AE8="",AND($B8="",$C8="")),"",(Y8/AD8/1000)/(AM8*AE8^2))</f>
        <v>1.8669470294034063</v>
      </c>
      <c r="AH8" s="30"/>
      <c r="AI8" s="31"/>
      <c r="AJ8" s="48">
        <f>IF(AND($B8="",$C8=""),"",(Y8/AD8/1000)/L8^0.5)</f>
        <v>0.18037523950583939</v>
      </c>
      <c r="AK8" s="48">
        <f>IF(AND($B8="",$C8=""),"",AN8/(AE8^2.5))</f>
        <v>0.11302144241534215</v>
      </c>
      <c r="AL8" s="48">
        <f>IF(AND($B8="",$C8=""),"",AJ8/(AE8^(8/3)/0.015))</f>
        <v>3.1148815495983553E-2</v>
      </c>
      <c r="AM8" s="48">
        <f>IF(AND($B8="",$C8=""),"",VLOOKUP($AF8,Coeficientes!$C:$D,2,0))</f>
        <v>0.11990000000000001</v>
      </c>
      <c r="AN8" s="48">
        <f>IF(AND($B8="",$C8=""),"",((Y8/AD8/1000)/(9.80665^0.5)))</f>
        <v>1.1436965839041392E-2</v>
      </c>
      <c r="AO8" s="48">
        <f>IF(AND($B8="",$C8=""),"",IF(AF8="Menor","",AL8*AE8))</f>
        <v>1.2459526198393422E-2</v>
      </c>
      <c r="AP8" s="48">
        <f>IF(AND($B8="",$C8=""),"",(1301.07*10^0.177)/($U8+15)^0.836)</f>
        <v>132.62421178101647</v>
      </c>
      <c r="AQ8" s="48">
        <f>IF(AND($B8="",$C8=""),"",(2778.43*10^0.149)/($U8+24)^0.94)</f>
        <v>142.30143433061278</v>
      </c>
      <c r="AR8" s="48">
        <f>IF(AND($B8="",$C8=""),"",(1062.92*10^0.141)/($U8+5)^0.776)</f>
        <v>179.82652907852787</v>
      </c>
      <c r="AS8" s="48">
        <f>IF(AND($B8="",$C8=""),"",(3132.56*10^0.093)/($U8+30)^0.939)</f>
        <v>121.49686340523181</v>
      </c>
      <c r="AT8" s="48">
        <f>IF(AND($B8="",$C8=""),"",(5726.64*10^0.159)/($U8+41)^1.041)</f>
        <v>137.82224792770026</v>
      </c>
      <c r="AU8" s="48">
        <f>IF(AND($B8="",$C8=""),"",(1012.28*10^0.182)/($U8+9)^0.76)</f>
        <v>164.22827063919604</v>
      </c>
      <c r="AV8" s="48">
        <f>IF(AND($B8="",$C8=""),"",(1039.68*10^0.171)/($U8+10)^0.799)</f>
        <v>140.72677110042409</v>
      </c>
      <c r="AW8" s="48">
        <f>IF(AND($B8="",$C8=""),"",(3132.56*10^0.093)/($U8+30)^0.939)</f>
        <v>121.49686340523181</v>
      </c>
      <c r="AX8" s="48">
        <f>IF(AND($B8="",$C8=""),"",(2115.81*10^0.145)/($U8+22)^0.849)</f>
        <v>155.81323116893986</v>
      </c>
      <c r="AY8" s="48">
        <f>IF(AND($B8="",$C8=""),"",(2808.67*10^0.104)/($U8+33)^0.93)</f>
        <v>107.98788908660342</v>
      </c>
      <c r="AZ8" s="48">
        <f>IF(AND($B8="",$C8=""),"",(1902.39*10^0.152)/($U8+21)^0.893)</f>
        <v>125.75161224537999</v>
      </c>
      <c r="BA8" s="48">
        <f>IF(AND($B8="",$C8=""),"",(1752.27*10^0.148)/($U8+17)^0.84)</f>
        <v>154.61636672609004</v>
      </c>
      <c r="BB8" s="48">
        <f>IF(AND($B8="",$C8=""),"",(1039.68*10^0.171)/($U8+10)^0.799)</f>
        <v>140.72677110042409</v>
      </c>
    </row>
    <row r="9" spans="1:54" x14ac:dyDescent="0.2">
      <c r="A9" s="30" t="s">
        <v>491</v>
      </c>
      <c r="B9" s="23" t="s">
        <v>490</v>
      </c>
      <c r="C9" s="23" t="s">
        <v>492</v>
      </c>
      <c r="D9" s="24">
        <v>566.5</v>
      </c>
      <c r="E9" s="24">
        <v>565.5</v>
      </c>
      <c r="F9" s="24">
        <v>2</v>
      </c>
      <c r="G9" s="24">
        <v>1.3</v>
      </c>
      <c r="H9" s="10">
        <f>IF(AND($B9="",$C9=""),"",D9-F9-$AE9)</f>
        <v>564.1</v>
      </c>
      <c r="I9" s="10">
        <f>IF(AND($B9="",$C9=""),"",E9-G9-$AE9)</f>
        <v>563.80000000000007</v>
      </c>
      <c r="J9" s="24">
        <f>10.9+12.7</f>
        <v>23.6</v>
      </c>
      <c r="K9" s="13">
        <f>IF(AND($B9="",$C9=""),"",(D9-E9)/J9)</f>
        <v>4.2372881355932202E-2</v>
      </c>
      <c r="L9" s="13">
        <f>IF(AND($B9="",$C9=""),"",(H9-I9)/J9)</f>
        <v>1.2711864406777733E-2</v>
      </c>
      <c r="M9" s="25">
        <f t="shared" ref="M9:O11" si="0">M8</f>
        <v>569.70000000000005</v>
      </c>
      <c r="N9" s="25">
        <f t="shared" si="0"/>
        <v>563</v>
      </c>
      <c r="O9" s="22">
        <f t="shared" si="0"/>
        <v>0.14876</v>
      </c>
      <c r="P9" s="11">
        <f>IF(AND($B9="",$C9=""),"",M9-N9)</f>
        <v>6.7000000000000455</v>
      </c>
      <c r="Q9" s="26">
        <v>2826.1</v>
      </c>
      <c r="R9" s="22">
        <v>0.6</v>
      </c>
      <c r="S9" s="29">
        <f>IF(AND($B9="",$C9=""),"",IF(OR(ISTEXT(S8),S8=""),Q9/10000,Q9/10000+S8))</f>
        <v>0.46777999999999997</v>
      </c>
      <c r="T9" s="12">
        <f>IF(AND($B9="",$C9=""),"",IF((Q9/10000)&lt;1,1,(Q9/10000)^(-0.15)))</f>
        <v>1</v>
      </c>
      <c r="U9" s="12">
        <f>IF(AND($B9="",$C9=""),"",IF(57*(O9^3/P9)^0.385&lt;10,10,57*(O9^3/P9)^0.385))</f>
        <v>10</v>
      </c>
      <c r="V9" s="12">
        <f>IF(AND($B9="",$C9=""),"",HLOOKUP(VLOOKUP($B$1,'Cidade-ER'!$A:$B,2,0),$AP$6:$BB9,ROW()-5,0))</f>
        <v>142.30143433061278</v>
      </c>
      <c r="W9" s="12">
        <f>IF(AND($B9="",$C9=""),"",0.0725*R9*(V9*U9)^(1/3))</f>
        <v>0.48928174897129639</v>
      </c>
      <c r="X9" s="12">
        <f>IF(AND($B9="",$C9=""),"",(Q9/10000)*T9*V9*W9*2.778)</f>
        <v>54.662319993576176</v>
      </c>
      <c r="Y9" s="14">
        <f>IF(AND($B9="",$C9=""),"",IF(OR(ISTEXT(Y8),Y8=""),X9,X9+Y8))</f>
        <v>90.477831805651135</v>
      </c>
      <c r="Z9" s="12">
        <f>IF(AND($B9="",$C9=""),"",IF(AC8=0,X9+Z8,X9))</f>
        <v>90.477831805651135</v>
      </c>
      <c r="AA9" s="12">
        <f>IF(AND($B9="",$C9=""),"",(Sarjeta!$C$17^(5/3))*(Sarjeta!$C$16^(-2/3))*(ABS($K9)^0.5)/Sarjeta!$C$14*1000*2)</f>
        <v>64.466794998233752</v>
      </c>
      <c r="AB9" s="12">
        <f>IF(AND($B9="",$C9=""),"",(Sarjeta!$C$17/Sarjeta!$C$16)^(2/3)*(ABS($K9)^0.5)/Sarjeta!$C$14)</f>
        <v>0.73929810777791038</v>
      </c>
      <c r="AC9" s="36">
        <f>IF(AND($B9="",$C9=""),"",IF(Z9&lt;AA9,0,MAX(ROUND(Z9/AA9,0)*2,ROUNDUP(ROUND(Z9/Sarjeta!$C$19,0)/2,0)*2)))</f>
        <v>2</v>
      </c>
      <c r="AD9" s="26">
        <v>1</v>
      </c>
      <c r="AE9" s="27">
        <v>0.4</v>
      </c>
      <c r="AF9" s="32">
        <f>IF(OR($AE9="",AND($B9="",$C9="")),"",IF(ISERROR(VLOOKUP(AL9,Coeficientes!$A:$C,3,1)),0.05,VLOOKUP(AL9,Coeficientes!$A:$C,3,1)))</f>
        <v>0.46</v>
      </c>
      <c r="AG9" s="12">
        <f t="shared" ref="AG9:AG72" si="1">IF(OR(AE9="",AND($B9="",$C9="")),"",(Y9/AD9/1000)/(AM9*AE9^2))</f>
        <v>1.6033071981438036</v>
      </c>
      <c r="AH9" s="30"/>
      <c r="AI9" s="31"/>
      <c r="AJ9" s="48">
        <f>IF(AND($B9="",$C9=""),"",(Y9/AD9/1000)/L9^0.5)</f>
        <v>0.80248617420856405</v>
      </c>
      <c r="AK9" s="48">
        <f>IF(AND($B9="",$C9=""),"",AN9/(AE9^2.5))</f>
        <v>0.28551693218690261</v>
      </c>
      <c r="AL9" s="48">
        <f>IF(AND($B9="",$C9=""),"",AJ9/(AE9^(8/3)/0.015))</f>
        <v>0.13858051607848898</v>
      </c>
      <c r="AM9" s="48">
        <f>IF(AND($B9="",$C9=""),"",VLOOKUP($AF9,Coeficientes!$C:$D,2,0))</f>
        <v>0.35270000000000001</v>
      </c>
      <c r="AN9" s="48">
        <f>IF(AND($B9="",$C9=""),"",((Y9/AD9/1000)/(9.80665^0.5)))</f>
        <v>2.8892282120142478E-2</v>
      </c>
      <c r="AO9" s="48">
        <f>IF(AND($B9="",$C9=""),"",IF(AF9="Menor","",AL9*AE9))</f>
        <v>5.5432206431395598E-2</v>
      </c>
      <c r="AP9" s="48">
        <f>IF(AND($B9="",$C9=""),"",(1301.07*10^0.177)/($U9+15)^0.836)</f>
        <v>132.62421178101647</v>
      </c>
      <c r="AQ9" s="48">
        <f>IF(AND($B9="",$C9=""),"",(2778.43*10^0.149)/($U9+24)^0.94)</f>
        <v>142.30143433061278</v>
      </c>
      <c r="AR9" s="48">
        <f>IF(AND($B9="",$C9=""),"",(1062.92*10^0.141)/($U9+5)^0.776)</f>
        <v>179.82652907852787</v>
      </c>
      <c r="AS9" s="48">
        <f>IF(AND($B9="",$C9=""),"",(3132.56*10^0.093)/($U9+30)^0.939)</f>
        <v>121.49686340523181</v>
      </c>
      <c r="AT9" s="48">
        <f>IF(AND($B9="",$C9=""),"",(5726.64*10^0.159)/($U9+41)^1.041)</f>
        <v>137.82224792770026</v>
      </c>
      <c r="AU9" s="48">
        <f>IF(AND($B9="",$C9=""),"",(1012.28*10^0.182)/($U9+9)^0.76)</f>
        <v>164.22827063919604</v>
      </c>
      <c r="AV9" s="48">
        <f>IF(AND($B9="",$C9=""),"",(1039.68*10^0.171)/($U9+10)^0.799)</f>
        <v>140.72677110042409</v>
      </c>
      <c r="AW9" s="48">
        <f>IF(AND($B9="",$C9=""),"",(3132.56*10^0.093)/($U9+30)^0.939)</f>
        <v>121.49686340523181</v>
      </c>
      <c r="AX9" s="48">
        <f>IF(AND($B9="",$C9=""),"",(2115.81*10^0.145)/($U9+22)^0.849)</f>
        <v>155.81323116893986</v>
      </c>
      <c r="AY9" s="48">
        <f>IF(AND($B9="",$C9=""),"",(2808.67*10^0.104)/($U9+33)^0.93)</f>
        <v>107.98788908660342</v>
      </c>
      <c r="AZ9" s="48">
        <f>IF(AND($B9="",$C9=""),"",(1902.39*10^0.152)/($U9+21)^0.893)</f>
        <v>125.75161224537999</v>
      </c>
      <c r="BA9" s="48">
        <f>IF(AND($B9="",$C9=""),"",(1752.27*10^0.148)/($U9+17)^0.84)</f>
        <v>154.61636672609004</v>
      </c>
      <c r="BB9" s="48">
        <f>IF(AND($B9="",$C9=""),"",(1039.68*10^0.171)/($U9+10)^0.799)</f>
        <v>140.72677110042409</v>
      </c>
    </row>
    <row r="10" spans="1:54" x14ac:dyDescent="0.2">
      <c r="A10" s="30" t="s">
        <v>493</v>
      </c>
      <c r="B10" s="23" t="s">
        <v>492</v>
      </c>
      <c r="C10" s="23" t="s">
        <v>494</v>
      </c>
      <c r="D10" s="24">
        <v>565.5</v>
      </c>
      <c r="E10" s="24">
        <v>564.5</v>
      </c>
      <c r="F10" s="24">
        <v>2.0499999999999998</v>
      </c>
      <c r="G10" s="24">
        <v>1.35</v>
      </c>
      <c r="H10" s="10">
        <f t="shared" ref="H10:H73" si="2">IF(AND($B10="",$C10=""),"",D10-F10-$AE10)</f>
        <v>563.05000000000007</v>
      </c>
      <c r="I10" s="10">
        <f t="shared" ref="I10:I73" si="3">IF(AND($B10="",$C10=""),"",E10-G10-$AE10)</f>
        <v>562.75</v>
      </c>
      <c r="J10" s="24">
        <f>6.8+14.5</f>
        <v>21.3</v>
      </c>
      <c r="K10" s="13">
        <f t="shared" ref="K10:K73" si="4">IF(AND($B10="",$C10=""),"",(D10-E10)/J10)</f>
        <v>4.6948356807511735E-2</v>
      </c>
      <c r="L10" s="13">
        <f t="shared" ref="L10:L73" si="5">IF(AND($B10="",$C10=""),"",(H10-I10)/J10)</f>
        <v>1.4084507042256724E-2</v>
      </c>
      <c r="M10" s="25">
        <f t="shared" si="0"/>
        <v>569.70000000000005</v>
      </c>
      <c r="N10" s="25">
        <f t="shared" si="0"/>
        <v>563</v>
      </c>
      <c r="O10" s="22">
        <f t="shared" si="0"/>
        <v>0.14876</v>
      </c>
      <c r="P10" s="11">
        <f t="shared" ref="P10:P73" si="6">IF(AND($B10="",$C10=""),"",M10-N10)</f>
        <v>6.7000000000000455</v>
      </c>
      <c r="Q10" s="26">
        <v>2455.6999999999998</v>
      </c>
      <c r="R10" s="22">
        <v>0.6</v>
      </c>
      <c r="S10" s="29">
        <f t="shared" ref="S10:S73" si="7">IF(AND($B10="",$C10=""),"",IF(OR(ISTEXT(S9),S9=""),Q10/10000,Q10/10000+S9))</f>
        <v>0.71334999999999993</v>
      </c>
      <c r="T10" s="12">
        <f t="shared" ref="T10:T73" si="8">IF(AND($B10="",$C10=""),"",IF((Q10/10000)&lt;1,1,(Q10/10000)^(-0.15)))</f>
        <v>1</v>
      </c>
      <c r="U10" s="12">
        <f t="shared" ref="U10:U73" si="9">IF(AND($B10="",$C10=""),"",IF(57*(O10^3/P10)^0.385&lt;10,10,57*(O10^3/P10)^0.385))</f>
        <v>10</v>
      </c>
      <c r="V10" s="12">
        <f>IF(AND($B10="",$C10=""),"",HLOOKUP(VLOOKUP($B$1,'Cidade-ER'!$A:$B,2,0),$AP$6:$BB10,ROW()-5,0))</f>
        <v>142.30143433061278</v>
      </c>
      <c r="W10" s="12">
        <f t="shared" ref="W10:W73" si="10">IF(AND($B10="",$C10=""),"",0.0725*R10*(V10*U10)^(1/3))</f>
        <v>0.48928174897129639</v>
      </c>
      <c r="X10" s="12">
        <f t="shared" ref="X10:X73" si="11">IF(AND($B10="",$C10=""),"",(Q10/10000)*T10*V10*W10*2.778)</f>
        <v>47.498057113416031</v>
      </c>
      <c r="Y10" s="14">
        <f t="shared" ref="Y10:Y73" si="12">IF(AND($B10="",$C10=""),"",IF(OR(ISTEXT(Y9),Y9=""),X10,X10+Y9))</f>
        <v>137.97588891906716</v>
      </c>
      <c r="Z10" s="12">
        <f t="shared" ref="Z10:Z73" si="13">IF(AND($B10="",$C10=""),"",IF(AC9=0,X10+Z9,X10))</f>
        <v>47.498057113416031</v>
      </c>
      <c r="AA10" s="12">
        <f>IF(AND($B10="",$C10=""),"",(Sarjeta!$C$17^(5/3))*(Sarjeta!$C$16^(-2/3))*(ABS($K10)^0.5)/Sarjeta!$C$14*1000*2)</f>
        <v>67.858191237289077</v>
      </c>
      <c r="AB10" s="12">
        <f>IF(AND($B10="",$C10=""),"",(Sarjeta!$C$17/Sarjeta!$C$16)^(2/3)*(ABS($K10)^0.5)/Sarjeta!$C$14)</f>
        <v>0.77819026648267342</v>
      </c>
      <c r="AC10" s="36">
        <f>IF(AND($B10="",$C10=""),"",IF(Z10&lt;AA10,0,MAX(ROUND(Z10/AA10,0)*2,ROUNDUP(ROUND(Z10/Sarjeta!$C$19,0)/2,0)*2)))</f>
        <v>0</v>
      </c>
      <c r="AD10" s="26">
        <v>1</v>
      </c>
      <c r="AE10" s="27">
        <v>0.4</v>
      </c>
      <c r="AF10" s="32">
        <f>IF(OR($AE10="",AND($B10="",$C10="")),"",IF(ISERROR(VLOOKUP(AL10,Coeficientes!$A:$C,3,1)),0.05,VLOOKUP(AL10,Coeficientes!$A:$C,3,1)))</f>
        <v>0.57999999999999996</v>
      </c>
      <c r="AG10" s="12">
        <f t="shared" si="1"/>
        <v>1.8270112409834103</v>
      </c>
      <c r="AH10" s="30"/>
      <c r="AI10" s="31"/>
      <c r="AJ10" s="48">
        <f t="shared" ref="AJ10:AJ73" si="14">IF(AND($B10="",$C10=""),"",(Y10/AD10/1000)/L10^0.5)</f>
        <v>1.1626055051190718</v>
      </c>
      <c r="AK10" s="48">
        <f t="shared" ref="AK10:AK73" si="15">IF(AND($B10="",$C10=""),"",AN10/(AE10^2.5))</f>
        <v>0.43540447128036031</v>
      </c>
      <c r="AL10" s="48">
        <f t="shared" ref="AL10:AL73" si="16">IF(AND($B10="",$C10=""),"",AJ10/(AE10^(8/3)/0.015))</f>
        <v>0.20076915475084572</v>
      </c>
      <c r="AM10" s="48">
        <f>IF(AND($B10="",$C10=""),"",VLOOKUP($AF10,Coeficientes!$C:$D,2,0))</f>
        <v>0.47199999999999998</v>
      </c>
      <c r="AN10" s="48">
        <f t="shared" ref="AN10:AN73" si="17">IF(AND($B10="",$C10=""),"",((Y10/AD10/1000)/(9.80665^0.5)))</f>
        <v>4.4059834645353874E-2</v>
      </c>
      <c r="AO10" s="48">
        <f t="shared" ref="AO10:AO73" si="18">IF(AND($B10="",$C10=""),"",IF(AF10="Menor","",AL10*AE10))</f>
        <v>8.0307661900338292E-2</v>
      </c>
      <c r="AP10" s="48">
        <f t="shared" ref="AP10:AP73" si="19">IF(AND($B10="",$C10=""),"",(1301.07*10^0.177)/($U10+15)^0.836)</f>
        <v>132.62421178101647</v>
      </c>
      <c r="AQ10" s="48">
        <f t="shared" ref="AQ10:AQ73" si="20">IF(AND($B10="",$C10=""),"",(2778.43*10^0.149)/($U10+24)^0.94)</f>
        <v>142.30143433061278</v>
      </c>
      <c r="AR10" s="48">
        <f t="shared" ref="AR10:AR73" si="21">IF(AND($B10="",$C10=""),"",(1062.92*10^0.141)/($U10+5)^0.776)</f>
        <v>179.82652907852787</v>
      </c>
      <c r="AS10" s="48">
        <f t="shared" ref="AS10:AS73" si="22">IF(AND($B10="",$C10=""),"",(3132.56*10^0.093)/($U10+30)^0.939)</f>
        <v>121.49686340523181</v>
      </c>
      <c r="AT10" s="48">
        <f t="shared" ref="AT10:AT73" si="23">IF(AND($B10="",$C10=""),"",(5726.64*10^0.159)/($U10+41)^1.041)</f>
        <v>137.82224792770026</v>
      </c>
      <c r="AU10" s="48">
        <f t="shared" ref="AU10:AU73" si="24">IF(AND($B10="",$C10=""),"",(1012.28*10^0.182)/($U10+9)^0.76)</f>
        <v>164.22827063919604</v>
      </c>
      <c r="AV10" s="48">
        <f t="shared" ref="AV10:AV73" si="25">IF(AND($B10="",$C10=""),"",(1039.68*10^0.171)/($U10+10)^0.799)</f>
        <v>140.72677110042409</v>
      </c>
      <c r="AW10" s="48">
        <f t="shared" ref="AW10:AW73" si="26">IF(AND($B10="",$C10=""),"",(3132.56*10^0.093)/($U10+30)^0.939)</f>
        <v>121.49686340523181</v>
      </c>
      <c r="AX10" s="48">
        <f t="shared" ref="AX10:AX73" si="27">IF(AND($B10="",$C10=""),"",(2115.81*10^0.145)/($U10+22)^0.849)</f>
        <v>155.81323116893986</v>
      </c>
      <c r="AY10" s="48">
        <f t="shared" ref="AY10:AY73" si="28">IF(AND($B10="",$C10=""),"",(2808.67*10^0.104)/($U10+33)^0.93)</f>
        <v>107.98788908660342</v>
      </c>
      <c r="AZ10" s="48">
        <f t="shared" ref="AZ10:AZ73" si="29">IF(AND($B10="",$C10=""),"",(1902.39*10^0.152)/($U10+21)^0.893)</f>
        <v>125.75161224537999</v>
      </c>
      <c r="BA10" s="48">
        <f t="shared" ref="BA10:BA73" si="30">IF(AND($B10="",$C10=""),"",(1752.27*10^0.148)/($U10+17)^0.84)</f>
        <v>154.61636672609004</v>
      </c>
      <c r="BB10" s="48">
        <f t="shared" ref="BB10:BB73" si="31">IF(AND($B10="",$C10=""),"",(1039.68*10^0.171)/($U10+10)^0.799)</f>
        <v>140.72677110042409</v>
      </c>
    </row>
    <row r="11" spans="1:54" x14ac:dyDescent="0.2">
      <c r="A11" s="30" t="s">
        <v>495</v>
      </c>
      <c r="B11" s="23" t="s">
        <v>494</v>
      </c>
      <c r="C11" s="23" t="s">
        <v>497</v>
      </c>
      <c r="D11" s="24">
        <v>564.5</v>
      </c>
      <c r="E11" s="24">
        <v>562.6</v>
      </c>
      <c r="F11" s="24">
        <v>1.8</v>
      </c>
      <c r="G11" s="24">
        <v>0.6</v>
      </c>
      <c r="H11" s="10">
        <f t="shared" si="2"/>
        <v>562.30000000000007</v>
      </c>
      <c r="I11" s="10">
        <f t="shared" si="3"/>
        <v>561.6</v>
      </c>
      <c r="J11" s="24">
        <v>27.3</v>
      </c>
      <c r="K11" s="13">
        <f t="shared" si="4"/>
        <v>6.9597069597068767E-2</v>
      </c>
      <c r="L11" s="13">
        <f t="shared" si="5"/>
        <v>2.5641025641027305E-2</v>
      </c>
      <c r="M11" s="25">
        <f t="shared" si="0"/>
        <v>569.70000000000005</v>
      </c>
      <c r="N11" s="25">
        <f t="shared" si="0"/>
        <v>563</v>
      </c>
      <c r="O11" s="22">
        <f t="shared" si="0"/>
        <v>0.14876</v>
      </c>
      <c r="P11" s="11">
        <f t="shared" si="6"/>
        <v>6.7000000000000455</v>
      </c>
      <c r="Q11" s="26">
        <v>3705.7</v>
      </c>
      <c r="R11" s="22">
        <v>0.6</v>
      </c>
      <c r="S11" s="29">
        <f t="shared" si="7"/>
        <v>1.08392</v>
      </c>
      <c r="T11" s="12">
        <f t="shared" si="8"/>
        <v>1</v>
      </c>
      <c r="U11" s="12">
        <f t="shared" si="9"/>
        <v>10</v>
      </c>
      <c r="V11" s="12">
        <f>IF(AND($B11="",$C11=""),"",HLOOKUP(VLOOKUP($B$1,'Cidade-ER'!$A:$B,2,0),$AP$6:$BB11,ROW()-5,0))</f>
        <v>142.30143433061278</v>
      </c>
      <c r="W11" s="12">
        <f t="shared" si="10"/>
        <v>0.48928174897129639</v>
      </c>
      <c r="X11" s="12">
        <f t="shared" si="11"/>
        <v>71.67551013771461</v>
      </c>
      <c r="Y11" s="14">
        <f t="shared" si="12"/>
        <v>209.65139905678177</v>
      </c>
      <c r="Z11" s="12">
        <f t="shared" si="13"/>
        <v>119.17356725113063</v>
      </c>
      <c r="AA11" s="12">
        <f>IF(AND($B11="",$C11=""),"",(Sarjeta!$C$17^(5/3))*(Sarjeta!$C$16^(-2/3))*(ABS($K11)^0.5)/Sarjeta!$C$14*1000*2)</f>
        <v>82.620450367182372</v>
      </c>
      <c r="AB11" s="12">
        <f>IF(AND($B11="",$C11=""),"",(Sarjeta!$C$17/Sarjeta!$C$16)^(2/3)*(ABS($K11)^0.5)/Sarjeta!$C$14)</f>
        <v>0.94748222898144963</v>
      </c>
      <c r="AC11" s="36">
        <f>IF(AND($B11="",$C11=""),"",IF(Z11&lt;AA11,0,MAX(ROUND(Z11/AA11,0)*2,ROUNDUP(ROUND(Z11/Sarjeta!$C$19,0)/2,0)*2)))</f>
        <v>2</v>
      </c>
      <c r="AD11" s="26">
        <v>1</v>
      </c>
      <c r="AE11" s="27">
        <v>0.4</v>
      </c>
      <c r="AF11" s="32">
        <f>IF(OR($AE11="",AND($B11="",$C11="")),"",IF(ISERROR(VLOOKUP(AL11,Coeficientes!$A:$C,3,1)),0.05,VLOOKUP(AL11,Coeficientes!$A:$C,3,1)))</f>
        <v>0.63</v>
      </c>
      <c r="AG11" s="12">
        <f t="shared" si="1"/>
        <v>2.5101939542239187</v>
      </c>
      <c r="AH11" s="30"/>
      <c r="AI11" s="31"/>
      <c r="AJ11" s="48">
        <f t="shared" si="14"/>
        <v>1.3092725674709835</v>
      </c>
      <c r="AK11" s="48">
        <f t="shared" si="15"/>
        <v>0.66158774025402411</v>
      </c>
      <c r="AL11" s="48">
        <f t="shared" si="16"/>
        <v>0.22609693963447836</v>
      </c>
      <c r="AM11" s="48">
        <f>IF(AND($B11="",$C11=""),"",VLOOKUP($AF11,Coeficientes!$C:$D,2,0))</f>
        <v>0.52200000000000002</v>
      </c>
      <c r="AN11" s="48">
        <f t="shared" si="17"/>
        <v>6.6947972199890612E-2</v>
      </c>
      <c r="AO11" s="48">
        <f t="shared" si="18"/>
        <v>9.0438775853791342E-2</v>
      </c>
      <c r="AP11" s="48">
        <f t="shared" si="19"/>
        <v>132.62421178101647</v>
      </c>
      <c r="AQ11" s="48">
        <f t="shared" si="20"/>
        <v>142.30143433061278</v>
      </c>
      <c r="AR11" s="48">
        <f t="shared" si="21"/>
        <v>179.82652907852787</v>
      </c>
      <c r="AS11" s="48">
        <f t="shared" si="22"/>
        <v>121.49686340523181</v>
      </c>
      <c r="AT11" s="48">
        <f t="shared" si="23"/>
        <v>137.82224792770026</v>
      </c>
      <c r="AU11" s="48">
        <f t="shared" si="24"/>
        <v>164.22827063919604</v>
      </c>
      <c r="AV11" s="48">
        <f t="shared" si="25"/>
        <v>140.72677110042409</v>
      </c>
      <c r="AW11" s="48">
        <f t="shared" si="26"/>
        <v>121.49686340523181</v>
      </c>
      <c r="AX11" s="48">
        <f t="shared" si="27"/>
        <v>155.81323116893986</v>
      </c>
      <c r="AY11" s="48">
        <f t="shared" si="28"/>
        <v>107.98788908660342</v>
      </c>
      <c r="AZ11" s="48">
        <f t="shared" si="29"/>
        <v>125.75161224537999</v>
      </c>
      <c r="BA11" s="48">
        <f t="shared" si="30"/>
        <v>154.61636672609004</v>
      </c>
      <c r="BB11" s="48">
        <f t="shared" si="31"/>
        <v>140.72677110042409</v>
      </c>
    </row>
    <row r="12" spans="1:54" x14ac:dyDescent="0.2">
      <c r="A12" s="30"/>
      <c r="B12" s="23"/>
      <c r="C12" s="23"/>
      <c r="D12" s="24"/>
      <c r="E12" s="24"/>
      <c r="F12" s="24"/>
      <c r="G12" s="24"/>
      <c r="H12" s="10" t="str">
        <f t="shared" si="2"/>
        <v/>
      </c>
      <c r="I12" s="10" t="str">
        <f t="shared" si="3"/>
        <v/>
      </c>
      <c r="J12" s="24"/>
      <c r="K12" s="13" t="str">
        <f t="shared" si="4"/>
        <v/>
      </c>
      <c r="L12" s="13" t="str">
        <f t="shared" si="5"/>
        <v/>
      </c>
      <c r="M12" s="25"/>
      <c r="N12" s="25"/>
      <c r="O12" s="22"/>
      <c r="P12" s="11" t="str">
        <f t="shared" si="6"/>
        <v/>
      </c>
      <c r="Q12" s="26"/>
      <c r="R12" s="22"/>
      <c r="S12" s="29" t="str">
        <f t="shared" si="7"/>
        <v/>
      </c>
      <c r="T12" s="12" t="str">
        <f t="shared" si="8"/>
        <v/>
      </c>
      <c r="U12" s="12" t="str">
        <f t="shared" si="9"/>
        <v/>
      </c>
      <c r="V12" s="12" t="str">
        <f>IF(AND($B12="",$C12=""),"",HLOOKUP(VLOOKUP($B$1,'Cidade-ER'!$A:$B,2,0),$AP$6:$BB12,ROW()-5,0))</f>
        <v/>
      </c>
      <c r="W12" s="12" t="str">
        <f t="shared" si="10"/>
        <v/>
      </c>
      <c r="X12" s="12" t="str">
        <f t="shared" si="11"/>
        <v/>
      </c>
      <c r="Y12" s="14" t="str">
        <f t="shared" si="12"/>
        <v/>
      </c>
      <c r="Z12" s="12" t="str">
        <f t="shared" si="13"/>
        <v/>
      </c>
      <c r="AA12" s="12" t="str">
        <f>IF(AND($B12="",$C12=""),"",(Sarjeta!$C$17^(5/3))*(Sarjeta!$C$16^(-2/3))*(ABS($K12)^0.5)/Sarjeta!$C$14*1000*2)</f>
        <v/>
      </c>
      <c r="AB12" s="12" t="str">
        <f>IF(AND($B12="",$C12=""),"",(Sarjeta!$C$17/Sarjeta!$C$16)^(2/3)*(ABS($K12)^0.5)/Sarjeta!$C$14)</f>
        <v/>
      </c>
      <c r="AC12" s="36" t="str">
        <f>IF(AND($B12="",$C12=""),"",IF(Z12&lt;AA12,0,MAX(ROUND(Z12/AA12,0)*2,ROUNDUP(ROUND(Z12/Sarjeta!$C$19,0)/2,0)*2)))</f>
        <v/>
      </c>
      <c r="AD12" s="26"/>
      <c r="AE12" s="27"/>
      <c r="AF12" s="32" t="str">
        <f>IF(OR($AE12="",AND($B12="",$C12="")),"",IF(ISERROR(VLOOKUP(AL12,Coeficientes!$A:$C,3,1)),0.05,VLOOKUP(AL12,Coeficientes!$A:$C,3,1)))</f>
        <v/>
      </c>
      <c r="AG12" s="12" t="str">
        <f t="shared" si="1"/>
        <v/>
      </c>
      <c r="AH12" s="30"/>
      <c r="AI12" s="31"/>
      <c r="AJ12" s="48" t="str">
        <f t="shared" si="14"/>
        <v/>
      </c>
      <c r="AK12" s="48" t="str">
        <f t="shared" si="15"/>
        <v/>
      </c>
      <c r="AL12" s="48" t="str">
        <f t="shared" si="16"/>
        <v/>
      </c>
      <c r="AM12" s="48" t="str">
        <f>IF(AND($B12="",$C12=""),"",VLOOKUP($AF12,Coeficientes!$C:$D,2,0))</f>
        <v/>
      </c>
      <c r="AN12" s="48" t="str">
        <f t="shared" si="17"/>
        <v/>
      </c>
      <c r="AO12" s="48" t="str">
        <f t="shared" si="18"/>
        <v/>
      </c>
      <c r="AP12" s="48" t="str">
        <f t="shared" si="19"/>
        <v/>
      </c>
      <c r="AQ12" s="48" t="str">
        <f t="shared" si="20"/>
        <v/>
      </c>
      <c r="AR12" s="48" t="str">
        <f t="shared" si="21"/>
        <v/>
      </c>
      <c r="AS12" s="48" t="str">
        <f t="shared" si="22"/>
        <v/>
      </c>
      <c r="AT12" s="48" t="str">
        <f t="shared" si="23"/>
        <v/>
      </c>
      <c r="AU12" s="48" t="str">
        <f t="shared" si="24"/>
        <v/>
      </c>
      <c r="AV12" s="48" t="str">
        <f t="shared" si="25"/>
        <v/>
      </c>
      <c r="AW12" s="48" t="str">
        <f t="shared" si="26"/>
        <v/>
      </c>
      <c r="AX12" s="48" t="str">
        <f t="shared" si="27"/>
        <v/>
      </c>
      <c r="AY12" s="48" t="str">
        <f t="shared" si="28"/>
        <v/>
      </c>
      <c r="AZ12" s="48" t="str">
        <f t="shared" si="29"/>
        <v/>
      </c>
      <c r="BA12" s="48" t="str">
        <f t="shared" si="30"/>
        <v/>
      </c>
      <c r="BB12" s="48" t="str">
        <f t="shared" si="31"/>
        <v/>
      </c>
    </row>
    <row r="13" spans="1:54" x14ac:dyDescent="0.2">
      <c r="A13" s="30"/>
      <c r="B13" s="23"/>
      <c r="C13" s="23"/>
      <c r="D13" s="24"/>
      <c r="E13" s="24"/>
      <c r="F13" s="24"/>
      <c r="G13" s="24"/>
      <c r="H13" s="10" t="str">
        <f t="shared" si="2"/>
        <v/>
      </c>
      <c r="I13" s="10" t="str">
        <f t="shared" si="3"/>
        <v/>
      </c>
      <c r="J13" s="24"/>
      <c r="K13" s="13" t="str">
        <f t="shared" si="4"/>
        <v/>
      </c>
      <c r="L13" s="13" t="str">
        <f t="shared" si="5"/>
        <v/>
      </c>
      <c r="M13" s="25"/>
      <c r="N13" s="25"/>
      <c r="O13" s="22"/>
      <c r="P13" s="11" t="str">
        <f t="shared" si="6"/>
        <v/>
      </c>
      <c r="Q13" s="26"/>
      <c r="R13" s="22"/>
      <c r="S13" s="29" t="str">
        <f t="shared" si="7"/>
        <v/>
      </c>
      <c r="T13" s="12" t="str">
        <f t="shared" si="8"/>
        <v/>
      </c>
      <c r="U13" s="12" t="str">
        <f t="shared" si="9"/>
        <v/>
      </c>
      <c r="V13" s="12" t="str">
        <f>IF(AND($B13="",$C13=""),"",HLOOKUP(VLOOKUP($B$1,'Cidade-ER'!$A:$B,2,0),$AP$6:$BB13,ROW()-5,0))</f>
        <v/>
      </c>
      <c r="W13" s="12" t="str">
        <f t="shared" si="10"/>
        <v/>
      </c>
      <c r="X13" s="12" t="str">
        <f t="shared" si="11"/>
        <v/>
      </c>
      <c r="Y13" s="14" t="str">
        <f t="shared" si="12"/>
        <v/>
      </c>
      <c r="Z13" s="12" t="str">
        <f t="shared" si="13"/>
        <v/>
      </c>
      <c r="AA13" s="12" t="str">
        <f>IF(AND($B13="",$C13=""),"",(Sarjeta!$C$17^(5/3))*(Sarjeta!$C$16^(-2/3))*(ABS($K13)^0.5)/Sarjeta!$C$14*1000*2)</f>
        <v/>
      </c>
      <c r="AB13" s="12" t="str">
        <f>IF(AND($B13="",$C13=""),"",(Sarjeta!$C$17/Sarjeta!$C$16)^(2/3)*(ABS($K13)^0.5)/Sarjeta!$C$14)</f>
        <v/>
      </c>
      <c r="AC13" s="36" t="str">
        <f>IF(AND($B13="",$C13=""),"",IF(Z13&lt;AA13,0,MAX(ROUND(Z13/AA13,0)*2,ROUNDUP(ROUND(Z13/Sarjeta!$C$19,0)/2,0)*2)))</f>
        <v/>
      </c>
      <c r="AD13" s="26"/>
      <c r="AE13" s="27"/>
      <c r="AF13" s="32" t="str">
        <f>IF(OR($AE13="",AND($B13="",$C13="")),"",IF(ISERROR(VLOOKUP(AL13,Coeficientes!$A:$C,3,1)),0.05,VLOOKUP(AL13,Coeficientes!$A:$C,3,1)))</f>
        <v/>
      </c>
      <c r="AG13" s="12" t="str">
        <f t="shared" si="1"/>
        <v/>
      </c>
      <c r="AH13" s="30"/>
      <c r="AI13" s="31"/>
      <c r="AJ13" s="48" t="str">
        <f t="shared" si="14"/>
        <v/>
      </c>
      <c r="AK13" s="48" t="str">
        <f t="shared" si="15"/>
        <v/>
      </c>
      <c r="AL13" s="48" t="str">
        <f t="shared" si="16"/>
        <v/>
      </c>
      <c r="AM13" s="48" t="str">
        <f>IF(AND($B13="",$C13=""),"",VLOOKUP($AF13,Coeficientes!$C:$D,2,0))</f>
        <v/>
      </c>
      <c r="AN13" s="48" t="str">
        <f t="shared" si="17"/>
        <v/>
      </c>
      <c r="AO13" s="48" t="str">
        <f t="shared" si="18"/>
        <v/>
      </c>
      <c r="AP13" s="48" t="str">
        <f t="shared" si="19"/>
        <v/>
      </c>
      <c r="AQ13" s="48" t="str">
        <f t="shared" si="20"/>
        <v/>
      </c>
      <c r="AR13" s="48" t="str">
        <f t="shared" si="21"/>
        <v/>
      </c>
      <c r="AS13" s="48" t="str">
        <f t="shared" si="22"/>
        <v/>
      </c>
      <c r="AT13" s="48" t="str">
        <f t="shared" si="23"/>
        <v/>
      </c>
      <c r="AU13" s="48" t="str">
        <f t="shared" si="24"/>
        <v/>
      </c>
      <c r="AV13" s="48" t="str">
        <f t="shared" si="25"/>
        <v/>
      </c>
      <c r="AW13" s="48" t="str">
        <f t="shared" si="26"/>
        <v/>
      </c>
      <c r="AX13" s="48" t="str">
        <f t="shared" si="27"/>
        <v/>
      </c>
      <c r="AY13" s="48" t="str">
        <f t="shared" si="28"/>
        <v/>
      </c>
      <c r="AZ13" s="48" t="str">
        <f t="shared" si="29"/>
        <v/>
      </c>
      <c r="BA13" s="48" t="str">
        <f t="shared" si="30"/>
        <v/>
      </c>
      <c r="BB13" s="48" t="str">
        <f t="shared" si="31"/>
        <v/>
      </c>
    </row>
    <row r="14" spans="1:54" x14ac:dyDescent="0.2">
      <c r="A14" s="30"/>
      <c r="B14" s="23"/>
      <c r="C14" s="23"/>
      <c r="D14" s="24"/>
      <c r="E14" s="24"/>
      <c r="F14" s="24"/>
      <c r="G14" s="24"/>
      <c r="H14" s="10" t="str">
        <f t="shared" si="2"/>
        <v/>
      </c>
      <c r="I14" s="10" t="str">
        <f t="shared" si="3"/>
        <v/>
      </c>
      <c r="J14" s="24"/>
      <c r="K14" s="13" t="str">
        <f t="shared" si="4"/>
        <v/>
      </c>
      <c r="L14" s="13" t="str">
        <f t="shared" si="5"/>
        <v/>
      </c>
      <c r="M14" s="25"/>
      <c r="N14" s="25"/>
      <c r="O14" s="22"/>
      <c r="P14" s="11" t="str">
        <f t="shared" si="6"/>
        <v/>
      </c>
      <c r="Q14" s="26"/>
      <c r="R14" s="22"/>
      <c r="S14" s="29" t="str">
        <f t="shared" si="7"/>
        <v/>
      </c>
      <c r="T14" s="12" t="str">
        <f t="shared" si="8"/>
        <v/>
      </c>
      <c r="U14" s="12" t="str">
        <f t="shared" si="9"/>
        <v/>
      </c>
      <c r="V14" s="12" t="str">
        <f>IF(AND($B14="",$C14=""),"",HLOOKUP(VLOOKUP($B$1,'Cidade-ER'!$A:$B,2,0),$AP$6:$BB14,ROW()-5,0))</f>
        <v/>
      </c>
      <c r="W14" s="12" t="str">
        <f t="shared" si="10"/>
        <v/>
      </c>
      <c r="X14" s="12" t="str">
        <f t="shared" si="11"/>
        <v/>
      </c>
      <c r="Y14" s="14" t="str">
        <f t="shared" si="12"/>
        <v/>
      </c>
      <c r="Z14" s="12" t="str">
        <f t="shared" si="13"/>
        <v/>
      </c>
      <c r="AA14" s="12" t="str">
        <f>IF(AND($B14="",$C14=""),"",(Sarjeta!$C$17^(5/3))*(Sarjeta!$C$16^(-2/3))*(ABS($K14)^0.5)/Sarjeta!$C$14*1000*2)</f>
        <v/>
      </c>
      <c r="AB14" s="12" t="str">
        <f>IF(AND($B14="",$C14=""),"",(Sarjeta!$C$17/Sarjeta!$C$16)^(2/3)*(ABS($K14)^0.5)/Sarjeta!$C$14)</f>
        <v/>
      </c>
      <c r="AC14" s="36" t="str">
        <f>IF(AND($B14="",$C14=""),"",IF(Z14&lt;AA14,0,MAX(ROUND(Z14/AA14,0)*2,ROUNDUP(ROUND(Z14/Sarjeta!$C$19,0)/2,0)*2)))</f>
        <v/>
      </c>
      <c r="AD14" s="26"/>
      <c r="AE14" s="27"/>
      <c r="AF14" s="32" t="str">
        <f>IF(OR($AE14="",AND($B14="",$C14="")),"",IF(ISERROR(VLOOKUP(AL14,Coeficientes!$A:$C,3,1)),0.05,VLOOKUP(AL14,Coeficientes!$A:$C,3,1)))</f>
        <v/>
      </c>
      <c r="AG14" s="12" t="str">
        <f t="shared" si="1"/>
        <v/>
      </c>
      <c r="AH14" s="30"/>
      <c r="AI14" s="31"/>
      <c r="AJ14" s="48" t="str">
        <f t="shared" si="14"/>
        <v/>
      </c>
      <c r="AK14" s="48" t="str">
        <f t="shared" si="15"/>
        <v/>
      </c>
      <c r="AL14" s="48" t="str">
        <f t="shared" si="16"/>
        <v/>
      </c>
      <c r="AM14" s="48" t="str">
        <f>IF(AND($B14="",$C14=""),"",VLOOKUP($AF14,Coeficientes!$C:$D,2,0))</f>
        <v/>
      </c>
      <c r="AN14" s="48" t="str">
        <f t="shared" si="17"/>
        <v/>
      </c>
      <c r="AO14" s="48" t="str">
        <f t="shared" si="18"/>
        <v/>
      </c>
      <c r="AP14" s="48" t="str">
        <f t="shared" si="19"/>
        <v/>
      </c>
      <c r="AQ14" s="48" t="str">
        <f t="shared" si="20"/>
        <v/>
      </c>
      <c r="AR14" s="48" t="str">
        <f t="shared" si="21"/>
        <v/>
      </c>
      <c r="AS14" s="48" t="str">
        <f t="shared" si="22"/>
        <v/>
      </c>
      <c r="AT14" s="48" t="str">
        <f t="shared" si="23"/>
        <v/>
      </c>
      <c r="AU14" s="48" t="str">
        <f t="shared" si="24"/>
        <v/>
      </c>
      <c r="AV14" s="48" t="str">
        <f t="shared" si="25"/>
        <v/>
      </c>
      <c r="AW14" s="48" t="str">
        <f t="shared" si="26"/>
        <v/>
      </c>
      <c r="AX14" s="48" t="str">
        <f t="shared" si="27"/>
        <v/>
      </c>
      <c r="AY14" s="48" t="str">
        <f t="shared" si="28"/>
        <v/>
      </c>
      <c r="AZ14" s="48" t="str">
        <f t="shared" si="29"/>
        <v/>
      </c>
      <c r="BA14" s="48" t="str">
        <f t="shared" si="30"/>
        <v/>
      </c>
      <c r="BB14" s="48" t="str">
        <f t="shared" si="31"/>
        <v/>
      </c>
    </row>
    <row r="15" spans="1:54" x14ac:dyDescent="0.2">
      <c r="A15" s="30"/>
      <c r="B15" s="23"/>
      <c r="C15" s="23"/>
      <c r="D15" s="24"/>
      <c r="E15" s="24"/>
      <c r="F15" s="24"/>
      <c r="G15" s="24"/>
      <c r="H15" s="10" t="str">
        <f t="shared" si="2"/>
        <v/>
      </c>
      <c r="I15" s="10" t="str">
        <f t="shared" si="3"/>
        <v/>
      </c>
      <c r="J15" s="24"/>
      <c r="K15" s="13" t="str">
        <f t="shared" si="4"/>
        <v/>
      </c>
      <c r="L15" s="13" t="str">
        <f t="shared" si="5"/>
        <v/>
      </c>
      <c r="M15" s="25"/>
      <c r="N15" s="25"/>
      <c r="O15" s="22"/>
      <c r="P15" s="11" t="str">
        <f t="shared" si="6"/>
        <v/>
      </c>
      <c r="Q15" s="26"/>
      <c r="R15" s="22"/>
      <c r="S15" s="29" t="str">
        <f t="shared" si="7"/>
        <v/>
      </c>
      <c r="T15" s="12" t="str">
        <f t="shared" si="8"/>
        <v/>
      </c>
      <c r="U15" s="12" t="str">
        <f t="shared" si="9"/>
        <v/>
      </c>
      <c r="V15" s="12" t="str">
        <f>IF(AND($B15="",$C15=""),"",HLOOKUP(VLOOKUP($B$1,'Cidade-ER'!$A:$B,2,0),$AP$6:$BB15,ROW()-5,0))</f>
        <v/>
      </c>
      <c r="W15" s="12" t="str">
        <f t="shared" si="10"/>
        <v/>
      </c>
      <c r="X15" s="12" t="str">
        <f t="shared" si="11"/>
        <v/>
      </c>
      <c r="Y15" s="14" t="str">
        <f t="shared" si="12"/>
        <v/>
      </c>
      <c r="Z15" s="12" t="str">
        <f t="shared" si="13"/>
        <v/>
      </c>
      <c r="AA15" s="12" t="str">
        <f>IF(AND($B15="",$C15=""),"",(Sarjeta!$C$17^(5/3))*(Sarjeta!$C$16^(-2/3))*(ABS($K15)^0.5)/Sarjeta!$C$14*1000*2)</f>
        <v/>
      </c>
      <c r="AB15" s="12" t="str">
        <f>IF(AND($B15="",$C15=""),"",(Sarjeta!$C$17/Sarjeta!$C$16)^(2/3)*(ABS($K15)^0.5)/Sarjeta!$C$14)</f>
        <v/>
      </c>
      <c r="AC15" s="36" t="str">
        <f>IF(AND($B15="",$C15=""),"",IF(Z15&lt;AA15,0,MAX(ROUND(Z15/AA15,0)*2,ROUNDUP(ROUND(Z15/Sarjeta!$C$19,0)/2,0)*2)))</f>
        <v/>
      </c>
      <c r="AD15" s="26"/>
      <c r="AE15" s="27"/>
      <c r="AF15" s="32" t="str">
        <f>IF(OR($AE15="",AND($B15="",$C15="")),"",IF(ISERROR(VLOOKUP(AL15,Coeficientes!$A:$C,3,1)),0.05,VLOOKUP(AL15,Coeficientes!$A:$C,3,1)))</f>
        <v/>
      </c>
      <c r="AG15" s="12" t="str">
        <f t="shared" si="1"/>
        <v/>
      </c>
      <c r="AH15" s="30"/>
      <c r="AI15" s="31"/>
      <c r="AJ15" s="48" t="str">
        <f t="shared" si="14"/>
        <v/>
      </c>
      <c r="AK15" s="48" t="str">
        <f t="shared" si="15"/>
        <v/>
      </c>
      <c r="AL15" s="48" t="str">
        <f t="shared" si="16"/>
        <v/>
      </c>
      <c r="AM15" s="48" t="str">
        <f>IF(AND($B15="",$C15=""),"",VLOOKUP($AF15,Coeficientes!$C:$D,2,0))</f>
        <v/>
      </c>
      <c r="AN15" s="48" t="str">
        <f t="shared" si="17"/>
        <v/>
      </c>
      <c r="AO15" s="48" t="str">
        <f t="shared" si="18"/>
        <v/>
      </c>
      <c r="AP15" s="48" t="str">
        <f t="shared" si="19"/>
        <v/>
      </c>
      <c r="AQ15" s="48" t="str">
        <f t="shared" si="20"/>
        <v/>
      </c>
      <c r="AR15" s="48" t="str">
        <f t="shared" si="21"/>
        <v/>
      </c>
      <c r="AS15" s="48" t="str">
        <f t="shared" si="22"/>
        <v/>
      </c>
      <c r="AT15" s="48" t="str">
        <f t="shared" si="23"/>
        <v/>
      </c>
      <c r="AU15" s="48" t="str">
        <f t="shared" si="24"/>
        <v/>
      </c>
      <c r="AV15" s="48" t="str">
        <f t="shared" si="25"/>
        <v/>
      </c>
      <c r="AW15" s="48" t="str">
        <f t="shared" si="26"/>
        <v/>
      </c>
      <c r="AX15" s="48" t="str">
        <f t="shared" si="27"/>
        <v/>
      </c>
      <c r="AY15" s="48" t="str">
        <f t="shared" si="28"/>
        <v/>
      </c>
      <c r="AZ15" s="48" t="str">
        <f t="shared" si="29"/>
        <v/>
      </c>
      <c r="BA15" s="48" t="str">
        <f t="shared" si="30"/>
        <v/>
      </c>
      <c r="BB15" s="48" t="str">
        <f t="shared" si="31"/>
        <v/>
      </c>
    </row>
    <row r="16" spans="1:54" x14ac:dyDescent="0.2">
      <c r="A16" s="30"/>
      <c r="B16" s="23"/>
      <c r="C16" s="23"/>
      <c r="D16" s="24"/>
      <c r="E16" s="24"/>
      <c r="F16" s="24"/>
      <c r="G16" s="24"/>
      <c r="H16" s="10" t="str">
        <f>IF(AND($B16="",$C16=""),"",D16-F16-$AE16)</f>
        <v/>
      </c>
      <c r="I16" s="10" t="str">
        <f>IF(AND($B16="",$C16=""),"",E16-G16-$AE16)</f>
        <v/>
      </c>
      <c r="J16" s="24"/>
      <c r="K16" s="13" t="str">
        <f>IF(AND($B16="",$C16=""),"",(D16-E16)/J16)</f>
        <v/>
      </c>
      <c r="L16" s="13" t="str">
        <f>IF(AND($B16="",$C16=""),"",(H16-I16)/J16)</f>
        <v/>
      </c>
      <c r="M16" s="25"/>
      <c r="N16" s="25"/>
      <c r="O16" s="22"/>
      <c r="P16" s="11" t="str">
        <f>IF(AND($B16="",$C16=""),"",M16-N16)</f>
        <v/>
      </c>
      <c r="Q16" s="26"/>
      <c r="R16" s="22"/>
      <c r="S16" s="29" t="str">
        <f t="shared" si="7"/>
        <v/>
      </c>
      <c r="T16" s="12" t="str">
        <f>IF(AND($B16="",$C16=""),"",IF((Q16/10000)&lt;1,1,(Q16/10000)^(-0.15)))</f>
        <v/>
      </c>
      <c r="U16" s="12" t="str">
        <f>IF(AND($B16="",$C16=""),"",IF(57*(O16^3/P16)^0.385&lt;10,10,57*(O16^3/P16)^0.385))</f>
        <v/>
      </c>
      <c r="V16" s="12" t="str">
        <f>IF(AND($B16="",$C16=""),"",HLOOKUP(VLOOKUP($B$1,'Cidade-ER'!$A:$B,2,0),$AP$6:$BB16,ROW()-5,0))</f>
        <v/>
      </c>
      <c r="W16" s="12" t="str">
        <f>IF(AND($B16="",$C16=""),"",0.0725*R16*(V16*U16)^(1/3))</f>
        <v/>
      </c>
      <c r="X16" s="12" t="str">
        <f>IF(AND($B16="",$C16=""),"",(Q16/10000)*T16*V16*W16*2.778)</f>
        <v/>
      </c>
      <c r="Y16" s="14" t="str">
        <f>IF(AND($B16="",$C16=""),"",IF(OR(ISTEXT(Y15),Y15=""),X16,X16+Y15))</f>
        <v/>
      </c>
      <c r="Z16" s="12" t="str">
        <f t="shared" si="13"/>
        <v/>
      </c>
      <c r="AA16" s="12" t="str">
        <f>IF(AND($B16="",$C16=""),"",(Sarjeta!$C$17^(5/3))*(Sarjeta!$C$16^(-2/3))*(ABS($K16)^0.5)/Sarjeta!$C$14*1000*2)</f>
        <v/>
      </c>
      <c r="AB16" s="12" t="str">
        <f>IF(AND($B16="",$C16=""),"",(Sarjeta!$C$17/Sarjeta!$C$16)^(2/3)*(ABS($K16)^0.5)/Sarjeta!$C$14)</f>
        <v/>
      </c>
      <c r="AC16" s="36" t="str">
        <f>IF(AND($B16="",$C16=""),"",IF(Z16&lt;AA16,0,MAX(ROUND(Z16/AA16,0)*2,ROUNDUP(ROUND(Z16/Sarjeta!$C$19,0)/2,0)*2)))</f>
        <v/>
      </c>
      <c r="AD16" s="26"/>
      <c r="AE16" s="27"/>
      <c r="AF16" s="32" t="str">
        <f>IF(OR($AE16="",AND($B16="",$C16="")),"",IF(ISERROR(VLOOKUP(AL16,Coeficientes!$A:$C,3,1)),0.05,VLOOKUP(AL16,Coeficientes!$A:$C,3,1)))</f>
        <v/>
      </c>
      <c r="AG16" s="12" t="str">
        <f t="shared" si="1"/>
        <v/>
      </c>
      <c r="AH16" s="30"/>
      <c r="AI16" s="31"/>
      <c r="AJ16" s="48" t="str">
        <f t="shared" si="14"/>
        <v/>
      </c>
      <c r="AK16" s="48" t="str">
        <f t="shared" si="15"/>
        <v/>
      </c>
      <c r="AL16" s="48" t="str">
        <f t="shared" si="16"/>
        <v/>
      </c>
      <c r="AM16" s="48" t="str">
        <f>IF(AND($B16="",$C16=""),"",VLOOKUP($AF16,Coeficientes!$C:$D,2,0))</f>
        <v/>
      </c>
      <c r="AN16" s="48" t="str">
        <f t="shared" si="17"/>
        <v/>
      </c>
      <c r="AO16" s="48" t="str">
        <f t="shared" si="18"/>
        <v/>
      </c>
      <c r="AP16" s="48" t="str">
        <f t="shared" si="19"/>
        <v/>
      </c>
      <c r="AQ16" s="48" t="str">
        <f t="shared" si="20"/>
        <v/>
      </c>
      <c r="AR16" s="48" t="str">
        <f t="shared" si="21"/>
        <v/>
      </c>
      <c r="AS16" s="48" t="str">
        <f t="shared" si="22"/>
        <v/>
      </c>
      <c r="AT16" s="48" t="str">
        <f t="shared" si="23"/>
        <v/>
      </c>
      <c r="AU16" s="48" t="str">
        <f t="shared" si="24"/>
        <v/>
      </c>
      <c r="AV16" s="48" t="str">
        <f t="shared" si="25"/>
        <v/>
      </c>
      <c r="AW16" s="48" t="str">
        <f t="shared" si="26"/>
        <v/>
      </c>
      <c r="AX16" s="48" t="str">
        <f t="shared" si="27"/>
        <v/>
      </c>
      <c r="AY16" s="48" t="str">
        <f t="shared" si="28"/>
        <v/>
      </c>
      <c r="AZ16" s="48" t="str">
        <f t="shared" si="29"/>
        <v/>
      </c>
      <c r="BA16" s="48" t="str">
        <f t="shared" si="30"/>
        <v/>
      </c>
      <c r="BB16" s="48" t="str">
        <f t="shared" si="31"/>
        <v/>
      </c>
    </row>
    <row r="17" spans="1:54" x14ac:dyDescent="0.2">
      <c r="A17" s="30"/>
      <c r="B17" s="23"/>
      <c r="C17" s="23"/>
      <c r="D17" s="24"/>
      <c r="E17" s="24"/>
      <c r="F17" s="24"/>
      <c r="G17" s="24"/>
      <c r="H17" s="10" t="str">
        <f t="shared" si="2"/>
        <v/>
      </c>
      <c r="I17" s="10" t="str">
        <f t="shared" si="3"/>
        <v/>
      </c>
      <c r="J17" s="24"/>
      <c r="K17" s="13" t="str">
        <f t="shared" si="4"/>
        <v/>
      </c>
      <c r="L17" s="13" t="str">
        <f t="shared" si="5"/>
        <v/>
      </c>
      <c r="M17" s="25"/>
      <c r="N17" s="25"/>
      <c r="O17" s="22"/>
      <c r="P17" s="11" t="str">
        <f t="shared" si="6"/>
        <v/>
      </c>
      <c r="Q17" s="26"/>
      <c r="R17" s="22"/>
      <c r="S17" s="29" t="str">
        <f t="shared" si="7"/>
        <v/>
      </c>
      <c r="T17" s="12" t="str">
        <f t="shared" si="8"/>
        <v/>
      </c>
      <c r="U17" s="12" t="str">
        <f t="shared" si="9"/>
        <v/>
      </c>
      <c r="V17" s="12" t="str">
        <f>IF(AND($B17="",$C17=""),"",HLOOKUP(VLOOKUP($B$1,'Cidade-ER'!$A:$B,2,0),$AP$6:$BB17,ROW()-5,0))</f>
        <v/>
      </c>
      <c r="W17" s="12" t="str">
        <f t="shared" si="10"/>
        <v/>
      </c>
      <c r="X17" s="12" t="str">
        <f t="shared" si="11"/>
        <v/>
      </c>
      <c r="Y17" s="14" t="str">
        <f t="shared" si="12"/>
        <v/>
      </c>
      <c r="Z17" s="12" t="str">
        <f t="shared" si="13"/>
        <v/>
      </c>
      <c r="AA17" s="12" t="str">
        <f>IF(AND($B17="",$C17=""),"",(Sarjeta!$C$17^(5/3))*(Sarjeta!$C$16^(-2/3))*(ABS($K17)^0.5)/Sarjeta!$C$14*1000*2)</f>
        <v/>
      </c>
      <c r="AB17" s="12" t="str">
        <f>IF(AND($B17="",$C17=""),"",(Sarjeta!$C$17/Sarjeta!$C$16)^(2/3)*(ABS($K17)^0.5)/Sarjeta!$C$14)</f>
        <v/>
      </c>
      <c r="AC17" s="36" t="str">
        <f>IF(AND($B17="",$C17=""),"",IF(Z17&lt;AA17,0,MAX(ROUND(Z17/AA17,0)*2,ROUNDUP(ROUND(Z17/Sarjeta!$C$19,0)/2,0)*2)))</f>
        <v/>
      </c>
      <c r="AD17" s="26"/>
      <c r="AE17" s="27"/>
      <c r="AF17" s="32" t="str">
        <f>IF(OR($AE17="",AND($B17="",$C17="")),"",IF(ISERROR(VLOOKUP(AL17,Coeficientes!$A:$C,3,1)),0.05,VLOOKUP(AL17,Coeficientes!$A:$C,3,1)))</f>
        <v/>
      </c>
      <c r="AG17" s="12" t="str">
        <f t="shared" si="1"/>
        <v/>
      </c>
      <c r="AH17" s="30"/>
      <c r="AI17" s="31"/>
      <c r="AJ17" s="48" t="str">
        <f t="shared" si="14"/>
        <v/>
      </c>
      <c r="AK17" s="48" t="str">
        <f t="shared" si="15"/>
        <v/>
      </c>
      <c r="AL17" s="48" t="str">
        <f t="shared" si="16"/>
        <v/>
      </c>
      <c r="AM17" s="48" t="str">
        <f>IF(AND($B17="",$C17=""),"",VLOOKUP($AF17,Coeficientes!$C:$D,2,0))</f>
        <v/>
      </c>
      <c r="AN17" s="48" t="str">
        <f t="shared" si="17"/>
        <v/>
      </c>
      <c r="AO17" s="48" t="str">
        <f t="shared" si="18"/>
        <v/>
      </c>
      <c r="AP17" s="48" t="str">
        <f t="shared" si="19"/>
        <v/>
      </c>
      <c r="AQ17" s="48" t="str">
        <f t="shared" si="20"/>
        <v/>
      </c>
      <c r="AR17" s="48" t="str">
        <f t="shared" si="21"/>
        <v/>
      </c>
      <c r="AS17" s="48" t="str">
        <f t="shared" si="22"/>
        <v/>
      </c>
      <c r="AT17" s="48" t="str">
        <f t="shared" si="23"/>
        <v/>
      </c>
      <c r="AU17" s="48" t="str">
        <f t="shared" si="24"/>
        <v/>
      </c>
      <c r="AV17" s="48" t="str">
        <f t="shared" si="25"/>
        <v/>
      </c>
      <c r="AW17" s="48" t="str">
        <f t="shared" si="26"/>
        <v/>
      </c>
      <c r="AX17" s="48" t="str">
        <f t="shared" si="27"/>
        <v/>
      </c>
      <c r="AY17" s="48" t="str">
        <f t="shared" si="28"/>
        <v/>
      </c>
      <c r="AZ17" s="48" t="str">
        <f t="shared" si="29"/>
        <v/>
      </c>
      <c r="BA17" s="48" t="str">
        <f t="shared" si="30"/>
        <v/>
      </c>
      <c r="BB17" s="48" t="str">
        <f t="shared" si="31"/>
        <v/>
      </c>
    </row>
    <row r="18" spans="1:54" x14ac:dyDescent="0.2">
      <c r="A18" s="30"/>
      <c r="B18" s="23"/>
      <c r="C18" s="23"/>
      <c r="D18" s="24"/>
      <c r="E18" s="24"/>
      <c r="F18" s="24"/>
      <c r="G18" s="24"/>
      <c r="H18" s="10" t="str">
        <f t="shared" si="2"/>
        <v/>
      </c>
      <c r="I18" s="10" t="str">
        <f t="shared" si="3"/>
        <v/>
      </c>
      <c r="J18" s="24"/>
      <c r="K18" s="13" t="str">
        <f t="shared" si="4"/>
        <v/>
      </c>
      <c r="L18" s="13" t="str">
        <f t="shared" si="5"/>
        <v/>
      </c>
      <c r="M18" s="25"/>
      <c r="N18" s="25"/>
      <c r="O18" s="22"/>
      <c r="P18" s="11" t="str">
        <f t="shared" si="6"/>
        <v/>
      </c>
      <c r="Q18" s="26"/>
      <c r="R18" s="22"/>
      <c r="S18" s="29" t="str">
        <f t="shared" si="7"/>
        <v/>
      </c>
      <c r="T18" s="12" t="str">
        <f t="shared" si="8"/>
        <v/>
      </c>
      <c r="U18" s="12" t="str">
        <f t="shared" si="9"/>
        <v/>
      </c>
      <c r="V18" s="12" t="str">
        <f>IF(AND($B18="",$C18=""),"",HLOOKUP(VLOOKUP($B$1,'Cidade-ER'!$A:$B,2,0),$AP$6:$BB18,ROW()-5,0))</f>
        <v/>
      </c>
      <c r="W18" s="12" t="str">
        <f t="shared" si="10"/>
        <v/>
      </c>
      <c r="X18" s="12" t="str">
        <f t="shared" si="11"/>
        <v/>
      </c>
      <c r="Y18" s="14" t="str">
        <f t="shared" si="12"/>
        <v/>
      </c>
      <c r="Z18" s="12" t="str">
        <f t="shared" si="13"/>
        <v/>
      </c>
      <c r="AA18" s="12" t="str">
        <f>IF(AND($B18="",$C18=""),"",(Sarjeta!$C$17^(5/3))*(Sarjeta!$C$16^(-2/3))*(ABS($K18)^0.5)/Sarjeta!$C$14*1000*2)</f>
        <v/>
      </c>
      <c r="AB18" s="12" t="str">
        <f>IF(AND($B18="",$C18=""),"",(Sarjeta!$C$17/Sarjeta!$C$16)^(2/3)*(ABS($K18)^0.5)/Sarjeta!$C$14)</f>
        <v/>
      </c>
      <c r="AC18" s="36" t="str">
        <f>IF(AND($B18="",$C18=""),"",IF(Z18&lt;AA18,0,MAX(ROUND(Z18/AA18,0)*2,ROUNDUP(ROUND(Z18/Sarjeta!$C$19,0)/2,0)*2)))</f>
        <v/>
      </c>
      <c r="AD18" s="26"/>
      <c r="AE18" s="27"/>
      <c r="AF18" s="32" t="str">
        <f>IF(OR($AE18="",AND($B18="",$C18="")),"",IF(ISERROR(VLOOKUP(AL18,Coeficientes!$A:$C,3,1)),0.05,VLOOKUP(AL18,Coeficientes!$A:$C,3,1)))</f>
        <v/>
      </c>
      <c r="AG18" s="12" t="str">
        <f t="shared" si="1"/>
        <v/>
      </c>
      <c r="AH18" s="30"/>
      <c r="AI18" s="31"/>
      <c r="AJ18" s="48" t="str">
        <f t="shared" si="14"/>
        <v/>
      </c>
      <c r="AK18" s="48" t="str">
        <f t="shared" si="15"/>
        <v/>
      </c>
      <c r="AL18" s="48" t="str">
        <f t="shared" si="16"/>
        <v/>
      </c>
      <c r="AM18" s="48" t="str">
        <f>IF(AND($B18="",$C18=""),"",VLOOKUP($AF18,Coeficientes!$C:$D,2,0))</f>
        <v/>
      </c>
      <c r="AN18" s="48" t="str">
        <f t="shared" si="17"/>
        <v/>
      </c>
      <c r="AO18" s="48" t="str">
        <f t="shared" si="18"/>
        <v/>
      </c>
      <c r="AP18" s="48" t="str">
        <f t="shared" si="19"/>
        <v/>
      </c>
      <c r="AQ18" s="48" t="str">
        <f t="shared" si="20"/>
        <v/>
      </c>
      <c r="AR18" s="48" t="str">
        <f t="shared" si="21"/>
        <v/>
      </c>
      <c r="AS18" s="48" t="str">
        <f t="shared" si="22"/>
        <v/>
      </c>
      <c r="AT18" s="48" t="str">
        <f t="shared" si="23"/>
        <v/>
      </c>
      <c r="AU18" s="48" t="str">
        <f t="shared" si="24"/>
        <v/>
      </c>
      <c r="AV18" s="48" t="str">
        <f t="shared" si="25"/>
        <v/>
      </c>
      <c r="AW18" s="48" t="str">
        <f t="shared" si="26"/>
        <v/>
      </c>
      <c r="AX18" s="48" t="str">
        <f t="shared" si="27"/>
        <v/>
      </c>
      <c r="AY18" s="48" t="str">
        <f t="shared" si="28"/>
        <v/>
      </c>
      <c r="AZ18" s="48" t="str">
        <f t="shared" si="29"/>
        <v/>
      </c>
      <c r="BA18" s="48" t="str">
        <f t="shared" si="30"/>
        <v/>
      </c>
      <c r="BB18" s="48" t="str">
        <f t="shared" si="31"/>
        <v/>
      </c>
    </row>
    <row r="19" spans="1:54" x14ac:dyDescent="0.2">
      <c r="A19" s="30"/>
      <c r="B19" s="23"/>
      <c r="C19" s="23"/>
      <c r="D19" s="24"/>
      <c r="E19" s="24"/>
      <c r="F19" s="24"/>
      <c r="G19" s="24"/>
      <c r="H19" s="10" t="str">
        <f t="shared" si="2"/>
        <v/>
      </c>
      <c r="I19" s="10" t="str">
        <f t="shared" si="3"/>
        <v/>
      </c>
      <c r="J19" s="24"/>
      <c r="K19" s="13" t="str">
        <f t="shared" si="4"/>
        <v/>
      </c>
      <c r="L19" s="13" t="str">
        <f t="shared" si="5"/>
        <v/>
      </c>
      <c r="M19" s="25"/>
      <c r="N19" s="25"/>
      <c r="O19" s="22"/>
      <c r="P19" s="11" t="str">
        <f t="shared" si="6"/>
        <v/>
      </c>
      <c r="Q19" s="26"/>
      <c r="R19" s="22"/>
      <c r="S19" s="29" t="str">
        <f t="shared" si="7"/>
        <v/>
      </c>
      <c r="T19" s="12" t="str">
        <f t="shared" si="8"/>
        <v/>
      </c>
      <c r="U19" s="12" t="str">
        <f t="shared" si="9"/>
        <v/>
      </c>
      <c r="V19" s="12" t="str">
        <f>IF(AND($B19="",$C19=""),"",HLOOKUP(VLOOKUP($B$1,'Cidade-ER'!$A:$B,2,0),$AP$6:$BB19,ROW()-5,0))</f>
        <v/>
      </c>
      <c r="W19" s="12" t="str">
        <f t="shared" si="10"/>
        <v/>
      </c>
      <c r="X19" s="12" t="str">
        <f t="shared" si="11"/>
        <v/>
      </c>
      <c r="Y19" s="14" t="str">
        <f t="shared" si="12"/>
        <v/>
      </c>
      <c r="Z19" s="12" t="str">
        <f t="shared" si="13"/>
        <v/>
      </c>
      <c r="AA19" s="12" t="str">
        <f>IF(AND($B19="",$C19=""),"",(Sarjeta!$C$17^(5/3))*(Sarjeta!$C$16^(-2/3))*(ABS($K19)^0.5)/Sarjeta!$C$14*1000*2)</f>
        <v/>
      </c>
      <c r="AB19" s="12" t="str">
        <f>IF(AND($B19="",$C19=""),"",(Sarjeta!$C$17/Sarjeta!$C$16)^(2/3)*(ABS($K19)^0.5)/Sarjeta!$C$14)</f>
        <v/>
      </c>
      <c r="AC19" s="36" t="str">
        <f>IF(AND($B19="",$C19=""),"",IF(Z19&lt;AA19,0,MAX(ROUND(Z19/AA19,0)*2,ROUNDUP(ROUND(Z19/Sarjeta!$C$19,0)/2,0)*2)))</f>
        <v/>
      </c>
      <c r="AD19" s="26"/>
      <c r="AE19" s="27"/>
      <c r="AF19" s="32" t="str">
        <f>IF(OR($AE19="",AND($B19="",$C19="")),"",IF(ISERROR(VLOOKUP(AL19,Coeficientes!$A:$C,3,1)),0.05,VLOOKUP(AL19,Coeficientes!$A:$C,3,1)))</f>
        <v/>
      </c>
      <c r="AG19" s="12" t="str">
        <f t="shared" si="1"/>
        <v/>
      </c>
      <c r="AH19" s="30"/>
      <c r="AI19" s="31"/>
      <c r="AJ19" s="48" t="str">
        <f t="shared" si="14"/>
        <v/>
      </c>
      <c r="AK19" s="48" t="str">
        <f t="shared" si="15"/>
        <v/>
      </c>
      <c r="AL19" s="48" t="str">
        <f t="shared" si="16"/>
        <v/>
      </c>
      <c r="AM19" s="48" t="str">
        <f>IF(AND($B19="",$C19=""),"",VLOOKUP($AF19,Coeficientes!$C:$D,2,0))</f>
        <v/>
      </c>
      <c r="AN19" s="48" t="str">
        <f t="shared" si="17"/>
        <v/>
      </c>
      <c r="AO19" s="48" t="str">
        <f t="shared" si="18"/>
        <v/>
      </c>
      <c r="AP19" s="48" t="str">
        <f t="shared" si="19"/>
        <v/>
      </c>
      <c r="AQ19" s="48" t="str">
        <f t="shared" si="20"/>
        <v/>
      </c>
      <c r="AR19" s="48" t="str">
        <f t="shared" si="21"/>
        <v/>
      </c>
      <c r="AS19" s="48" t="str">
        <f t="shared" si="22"/>
        <v/>
      </c>
      <c r="AT19" s="48" t="str">
        <f t="shared" si="23"/>
        <v/>
      </c>
      <c r="AU19" s="48" t="str">
        <f t="shared" si="24"/>
        <v/>
      </c>
      <c r="AV19" s="48" t="str">
        <f t="shared" si="25"/>
        <v/>
      </c>
      <c r="AW19" s="48" t="str">
        <f t="shared" si="26"/>
        <v/>
      </c>
      <c r="AX19" s="48" t="str">
        <f t="shared" si="27"/>
        <v/>
      </c>
      <c r="AY19" s="48" t="str">
        <f t="shared" si="28"/>
        <v/>
      </c>
      <c r="AZ19" s="48" t="str">
        <f t="shared" si="29"/>
        <v/>
      </c>
      <c r="BA19" s="48" t="str">
        <f t="shared" si="30"/>
        <v/>
      </c>
      <c r="BB19" s="48" t="str">
        <f t="shared" si="31"/>
        <v/>
      </c>
    </row>
    <row r="20" spans="1:54" x14ac:dyDescent="0.2">
      <c r="A20" s="30"/>
      <c r="B20" s="23"/>
      <c r="C20" s="23"/>
      <c r="D20" s="24"/>
      <c r="E20" s="24"/>
      <c r="F20" s="24"/>
      <c r="G20" s="24"/>
      <c r="H20" s="10" t="str">
        <f t="shared" si="2"/>
        <v/>
      </c>
      <c r="I20" s="10" t="str">
        <f t="shared" si="3"/>
        <v/>
      </c>
      <c r="J20" s="24"/>
      <c r="K20" s="13" t="str">
        <f t="shared" si="4"/>
        <v/>
      </c>
      <c r="L20" s="13" t="str">
        <f t="shared" si="5"/>
        <v/>
      </c>
      <c r="M20" s="25"/>
      <c r="N20" s="25"/>
      <c r="O20" s="22"/>
      <c r="P20" s="11" t="str">
        <f t="shared" si="6"/>
        <v/>
      </c>
      <c r="Q20" s="26"/>
      <c r="R20" s="22"/>
      <c r="S20" s="29" t="str">
        <f t="shared" si="7"/>
        <v/>
      </c>
      <c r="T20" s="12" t="str">
        <f t="shared" si="8"/>
        <v/>
      </c>
      <c r="U20" s="12" t="str">
        <f t="shared" si="9"/>
        <v/>
      </c>
      <c r="V20" s="12" t="str">
        <f>IF(AND($B20="",$C20=""),"",HLOOKUP(VLOOKUP($B$1,'Cidade-ER'!$A:$B,2,0),$AP$6:$BB20,ROW()-5,0))</f>
        <v/>
      </c>
      <c r="W20" s="12" t="str">
        <f t="shared" si="10"/>
        <v/>
      </c>
      <c r="X20" s="12" t="str">
        <f t="shared" si="11"/>
        <v/>
      </c>
      <c r="Y20" s="14" t="str">
        <f t="shared" si="12"/>
        <v/>
      </c>
      <c r="Z20" s="12" t="str">
        <f t="shared" si="13"/>
        <v/>
      </c>
      <c r="AA20" s="12" t="str">
        <f>IF(AND($B20="",$C20=""),"",(Sarjeta!$C$17^(5/3))*(Sarjeta!$C$16^(-2/3))*(ABS($K20)^0.5)/Sarjeta!$C$14*1000*2)</f>
        <v/>
      </c>
      <c r="AB20" s="12" t="str">
        <f>IF(AND($B20="",$C20=""),"",(Sarjeta!$C$17/Sarjeta!$C$16)^(2/3)*(ABS($K20)^0.5)/Sarjeta!$C$14)</f>
        <v/>
      </c>
      <c r="AC20" s="36" t="str">
        <f>IF(AND($B20="",$C20=""),"",IF(Z20&lt;AA20,0,MAX(ROUND(Z20/AA20,0)*2,ROUNDUP(ROUND(Z20/Sarjeta!$C$19,0)/2,0)*2)))</f>
        <v/>
      </c>
      <c r="AD20" s="26"/>
      <c r="AE20" s="27"/>
      <c r="AF20" s="32" t="str">
        <f>IF(OR($AE20="",AND($B20="",$C20="")),"",IF(ISERROR(VLOOKUP(AL20,Coeficientes!$A:$C,3,1)),0.05,VLOOKUP(AL20,Coeficientes!$A:$C,3,1)))</f>
        <v/>
      </c>
      <c r="AG20" s="12" t="str">
        <f t="shared" si="1"/>
        <v/>
      </c>
      <c r="AH20" s="30"/>
      <c r="AI20" s="31"/>
      <c r="AJ20" s="48" t="str">
        <f t="shared" si="14"/>
        <v/>
      </c>
      <c r="AK20" s="48" t="str">
        <f t="shared" si="15"/>
        <v/>
      </c>
      <c r="AL20" s="48" t="str">
        <f t="shared" si="16"/>
        <v/>
      </c>
      <c r="AM20" s="48" t="str">
        <f>IF(AND($B20="",$C20=""),"",VLOOKUP($AF20,Coeficientes!$C:$D,2,0))</f>
        <v/>
      </c>
      <c r="AN20" s="48" t="str">
        <f t="shared" si="17"/>
        <v/>
      </c>
      <c r="AO20" s="48" t="str">
        <f t="shared" si="18"/>
        <v/>
      </c>
      <c r="AP20" s="48" t="str">
        <f t="shared" si="19"/>
        <v/>
      </c>
      <c r="AQ20" s="48" t="str">
        <f t="shared" si="20"/>
        <v/>
      </c>
      <c r="AR20" s="48" t="str">
        <f t="shared" si="21"/>
        <v/>
      </c>
      <c r="AS20" s="48" t="str">
        <f t="shared" si="22"/>
        <v/>
      </c>
      <c r="AT20" s="48" t="str">
        <f t="shared" si="23"/>
        <v/>
      </c>
      <c r="AU20" s="48" t="str">
        <f t="shared" si="24"/>
        <v/>
      </c>
      <c r="AV20" s="48" t="str">
        <f t="shared" si="25"/>
        <v/>
      </c>
      <c r="AW20" s="48" t="str">
        <f t="shared" si="26"/>
        <v/>
      </c>
      <c r="AX20" s="48" t="str">
        <f t="shared" si="27"/>
        <v/>
      </c>
      <c r="AY20" s="48" t="str">
        <f t="shared" si="28"/>
        <v/>
      </c>
      <c r="AZ20" s="48" t="str">
        <f t="shared" si="29"/>
        <v/>
      </c>
      <c r="BA20" s="48" t="str">
        <f t="shared" si="30"/>
        <v/>
      </c>
      <c r="BB20" s="48" t="str">
        <f t="shared" si="31"/>
        <v/>
      </c>
    </row>
    <row r="21" spans="1:54" x14ac:dyDescent="0.2">
      <c r="A21" s="30"/>
      <c r="B21" s="23"/>
      <c r="C21" s="23"/>
      <c r="D21" s="24"/>
      <c r="E21" s="24"/>
      <c r="F21" s="24"/>
      <c r="G21" s="24"/>
      <c r="H21" s="10" t="str">
        <f t="shared" si="2"/>
        <v/>
      </c>
      <c r="I21" s="10" t="str">
        <f t="shared" si="3"/>
        <v/>
      </c>
      <c r="J21" s="24"/>
      <c r="K21" s="13" t="str">
        <f t="shared" si="4"/>
        <v/>
      </c>
      <c r="L21" s="13" t="str">
        <f t="shared" si="5"/>
        <v/>
      </c>
      <c r="M21" s="25"/>
      <c r="N21" s="25"/>
      <c r="O21" s="22"/>
      <c r="P21" s="11" t="str">
        <f t="shared" si="6"/>
        <v/>
      </c>
      <c r="Q21" s="26"/>
      <c r="R21" s="22"/>
      <c r="S21" s="29" t="str">
        <f t="shared" si="7"/>
        <v/>
      </c>
      <c r="T21" s="12" t="str">
        <f t="shared" si="8"/>
        <v/>
      </c>
      <c r="U21" s="12" t="str">
        <f t="shared" si="9"/>
        <v/>
      </c>
      <c r="V21" s="12" t="str">
        <f>IF(AND($B21="",$C21=""),"",HLOOKUP(VLOOKUP($B$1,'Cidade-ER'!$A:$B,2,0),$AP$6:$BB21,ROW()-5,0))</f>
        <v/>
      </c>
      <c r="W21" s="12" t="str">
        <f t="shared" si="10"/>
        <v/>
      </c>
      <c r="X21" s="12" t="str">
        <f t="shared" si="11"/>
        <v/>
      </c>
      <c r="Y21" s="14" t="str">
        <f t="shared" si="12"/>
        <v/>
      </c>
      <c r="Z21" s="12" t="str">
        <f t="shared" si="13"/>
        <v/>
      </c>
      <c r="AA21" s="12" t="str">
        <f>IF(AND($B21="",$C21=""),"",(Sarjeta!$C$17^(5/3))*(Sarjeta!$C$16^(-2/3))*(ABS($K21)^0.5)/Sarjeta!$C$14*1000*2)</f>
        <v/>
      </c>
      <c r="AB21" s="12" t="str">
        <f>IF(AND($B21="",$C21=""),"",(Sarjeta!$C$17/Sarjeta!$C$16)^(2/3)*(ABS($K21)^0.5)/Sarjeta!$C$14)</f>
        <v/>
      </c>
      <c r="AC21" s="36" t="str">
        <f>IF(AND($B21="",$C21=""),"",IF(Z21&lt;AA21,0,MAX(ROUND(Z21/AA21,0)*2,ROUNDUP(ROUND(Z21/Sarjeta!$C$19,0)/2,0)*2)))</f>
        <v/>
      </c>
      <c r="AD21" s="26"/>
      <c r="AE21" s="27"/>
      <c r="AF21" s="32" t="str">
        <f>IF(OR($AE21="",AND($B21="",$C21="")),"",IF(ISERROR(VLOOKUP(AL21,Coeficientes!$A:$C,3,1)),0.05,VLOOKUP(AL21,Coeficientes!$A:$C,3,1)))</f>
        <v/>
      </c>
      <c r="AG21" s="12" t="str">
        <f t="shared" si="1"/>
        <v/>
      </c>
      <c r="AH21" s="30"/>
      <c r="AI21" s="31"/>
      <c r="AJ21" s="48" t="str">
        <f t="shared" si="14"/>
        <v/>
      </c>
      <c r="AK21" s="48" t="str">
        <f t="shared" si="15"/>
        <v/>
      </c>
      <c r="AL21" s="48" t="str">
        <f t="shared" si="16"/>
        <v/>
      </c>
      <c r="AM21" s="48" t="str">
        <f>IF(AND($B21="",$C21=""),"",VLOOKUP($AF21,Coeficientes!$C:$D,2,0))</f>
        <v/>
      </c>
      <c r="AN21" s="48" t="str">
        <f t="shared" si="17"/>
        <v/>
      </c>
      <c r="AO21" s="48" t="str">
        <f t="shared" si="18"/>
        <v/>
      </c>
      <c r="AP21" s="48" t="str">
        <f t="shared" si="19"/>
        <v/>
      </c>
      <c r="AQ21" s="48" t="str">
        <f t="shared" si="20"/>
        <v/>
      </c>
      <c r="AR21" s="48" t="str">
        <f t="shared" si="21"/>
        <v/>
      </c>
      <c r="AS21" s="48" t="str">
        <f t="shared" si="22"/>
        <v/>
      </c>
      <c r="AT21" s="48" t="str">
        <f t="shared" si="23"/>
        <v/>
      </c>
      <c r="AU21" s="48" t="str">
        <f t="shared" si="24"/>
        <v/>
      </c>
      <c r="AV21" s="48" t="str">
        <f t="shared" si="25"/>
        <v/>
      </c>
      <c r="AW21" s="48" t="str">
        <f t="shared" si="26"/>
        <v/>
      </c>
      <c r="AX21" s="48" t="str">
        <f t="shared" si="27"/>
        <v/>
      </c>
      <c r="AY21" s="48" t="str">
        <f t="shared" si="28"/>
        <v/>
      </c>
      <c r="AZ21" s="48" t="str">
        <f t="shared" si="29"/>
        <v/>
      </c>
      <c r="BA21" s="48" t="str">
        <f t="shared" si="30"/>
        <v/>
      </c>
      <c r="BB21" s="48" t="str">
        <f t="shared" si="31"/>
        <v/>
      </c>
    </row>
    <row r="22" spans="1:54" x14ac:dyDescent="0.2">
      <c r="A22" s="30"/>
      <c r="B22" s="23"/>
      <c r="C22" s="23"/>
      <c r="D22" s="24"/>
      <c r="E22" s="24"/>
      <c r="F22" s="24"/>
      <c r="G22" s="24"/>
      <c r="H22" s="10" t="str">
        <f t="shared" si="2"/>
        <v/>
      </c>
      <c r="I22" s="10" t="str">
        <f t="shared" si="3"/>
        <v/>
      </c>
      <c r="J22" s="24"/>
      <c r="K22" s="13" t="str">
        <f t="shared" si="4"/>
        <v/>
      </c>
      <c r="L22" s="13" t="str">
        <f t="shared" si="5"/>
        <v/>
      </c>
      <c r="M22" s="25"/>
      <c r="N22" s="25"/>
      <c r="O22" s="22"/>
      <c r="P22" s="11" t="str">
        <f t="shared" si="6"/>
        <v/>
      </c>
      <c r="Q22" s="26"/>
      <c r="R22" s="22"/>
      <c r="S22" s="29" t="str">
        <f t="shared" si="7"/>
        <v/>
      </c>
      <c r="T22" s="12" t="str">
        <f t="shared" si="8"/>
        <v/>
      </c>
      <c r="U22" s="12" t="str">
        <f t="shared" si="9"/>
        <v/>
      </c>
      <c r="V22" s="12" t="str">
        <f>IF(AND($B22="",$C22=""),"",HLOOKUP(VLOOKUP($B$1,'Cidade-ER'!$A:$B,2,0),$AP$6:$BB22,ROW()-5,0))</f>
        <v/>
      </c>
      <c r="W22" s="12" t="str">
        <f t="shared" si="10"/>
        <v/>
      </c>
      <c r="X22" s="12" t="str">
        <f t="shared" si="11"/>
        <v/>
      </c>
      <c r="Y22" s="14" t="str">
        <f t="shared" si="12"/>
        <v/>
      </c>
      <c r="Z22" s="12" t="str">
        <f t="shared" si="13"/>
        <v/>
      </c>
      <c r="AA22" s="12" t="str">
        <f>IF(AND($B22="",$C22=""),"",(Sarjeta!$C$17^(5/3))*(Sarjeta!$C$16^(-2/3))*(ABS($K22)^0.5)/Sarjeta!$C$14*1000*2)</f>
        <v/>
      </c>
      <c r="AB22" s="12" t="str">
        <f>IF(AND($B22="",$C22=""),"",(Sarjeta!$C$17/Sarjeta!$C$16)^(2/3)*(ABS($K22)^0.5)/Sarjeta!$C$14)</f>
        <v/>
      </c>
      <c r="AC22" s="36" t="str">
        <f>IF(AND($B22="",$C22=""),"",IF(Z22&lt;AA22,0,MAX(ROUND(Z22/AA22,0)*2,ROUNDUP(ROUND(Z22/Sarjeta!$C$19,0)/2,0)*2)))</f>
        <v/>
      </c>
      <c r="AD22" s="26"/>
      <c r="AE22" s="27"/>
      <c r="AF22" s="32" t="str">
        <f>IF(OR($AE22="",AND($B22="",$C22="")),"",IF(ISERROR(VLOOKUP(AL22,Coeficientes!$A:$C,3,1)),0.05,VLOOKUP(AL22,Coeficientes!$A:$C,3,1)))</f>
        <v/>
      </c>
      <c r="AG22" s="12" t="str">
        <f t="shared" si="1"/>
        <v/>
      </c>
      <c r="AH22" s="30"/>
      <c r="AI22" s="31"/>
      <c r="AJ22" s="48" t="str">
        <f t="shared" si="14"/>
        <v/>
      </c>
      <c r="AK22" s="48" t="str">
        <f t="shared" si="15"/>
        <v/>
      </c>
      <c r="AL22" s="48" t="str">
        <f t="shared" si="16"/>
        <v/>
      </c>
      <c r="AM22" s="48" t="str">
        <f>IF(AND($B22="",$C22=""),"",VLOOKUP($AF22,Coeficientes!$C:$D,2,0))</f>
        <v/>
      </c>
      <c r="AN22" s="48" t="str">
        <f t="shared" si="17"/>
        <v/>
      </c>
      <c r="AO22" s="48" t="str">
        <f t="shared" si="18"/>
        <v/>
      </c>
      <c r="AP22" s="48" t="str">
        <f t="shared" si="19"/>
        <v/>
      </c>
      <c r="AQ22" s="48" t="str">
        <f t="shared" si="20"/>
        <v/>
      </c>
      <c r="AR22" s="48" t="str">
        <f t="shared" si="21"/>
        <v/>
      </c>
      <c r="AS22" s="48" t="str">
        <f t="shared" si="22"/>
        <v/>
      </c>
      <c r="AT22" s="48" t="str">
        <f t="shared" si="23"/>
        <v/>
      </c>
      <c r="AU22" s="48" t="str">
        <f t="shared" si="24"/>
        <v/>
      </c>
      <c r="AV22" s="48" t="str">
        <f t="shared" si="25"/>
        <v/>
      </c>
      <c r="AW22" s="48" t="str">
        <f t="shared" si="26"/>
        <v/>
      </c>
      <c r="AX22" s="48" t="str">
        <f t="shared" si="27"/>
        <v/>
      </c>
      <c r="AY22" s="48" t="str">
        <f t="shared" si="28"/>
        <v/>
      </c>
      <c r="AZ22" s="48" t="str">
        <f t="shared" si="29"/>
        <v/>
      </c>
      <c r="BA22" s="48" t="str">
        <f t="shared" si="30"/>
        <v/>
      </c>
      <c r="BB22" s="48" t="str">
        <f t="shared" si="31"/>
        <v/>
      </c>
    </row>
    <row r="23" spans="1:54" x14ac:dyDescent="0.2">
      <c r="A23" s="30"/>
      <c r="B23" s="23"/>
      <c r="C23" s="23"/>
      <c r="D23" s="24"/>
      <c r="E23" s="24"/>
      <c r="F23" s="24"/>
      <c r="G23" s="24"/>
      <c r="H23" s="10" t="str">
        <f t="shared" si="2"/>
        <v/>
      </c>
      <c r="I23" s="10" t="str">
        <f t="shared" si="3"/>
        <v/>
      </c>
      <c r="J23" s="24"/>
      <c r="K23" s="13" t="str">
        <f t="shared" si="4"/>
        <v/>
      </c>
      <c r="L23" s="13" t="str">
        <f t="shared" si="5"/>
        <v/>
      </c>
      <c r="M23" s="25"/>
      <c r="N23" s="25"/>
      <c r="O23" s="22"/>
      <c r="P23" s="11" t="str">
        <f t="shared" si="6"/>
        <v/>
      </c>
      <c r="Q23" s="26"/>
      <c r="R23" s="22"/>
      <c r="S23" s="29" t="str">
        <f t="shared" si="7"/>
        <v/>
      </c>
      <c r="T23" s="12" t="str">
        <f t="shared" si="8"/>
        <v/>
      </c>
      <c r="U23" s="12" t="str">
        <f t="shared" si="9"/>
        <v/>
      </c>
      <c r="V23" s="12" t="str">
        <f>IF(AND($B23="",$C23=""),"",HLOOKUP(VLOOKUP($B$1,'Cidade-ER'!$A:$B,2,0),$AP$6:$BB23,ROW()-5,0))</f>
        <v/>
      </c>
      <c r="W23" s="12" t="str">
        <f t="shared" si="10"/>
        <v/>
      </c>
      <c r="X23" s="12" t="str">
        <f t="shared" si="11"/>
        <v/>
      </c>
      <c r="Y23" s="14" t="str">
        <f t="shared" si="12"/>
        <v/>
      </c>
      <c r="Z23" s="12" t="str">
        <f t="shared" si="13"/>
        <v/>
      </c>
      <c r="AA23" s="12" t="str">
        <f>IF(AND($B23="",$C23=""),"",(Sarjeta!$C$17^(5/3))*(Sarjeta!$C$16^(-2/3))*(ABS($K23)^0.5)/Sarjeta!$C$14*1000*2)</f>
        <v/>
      </c>
      <c r="AB23" s="12" t="str">
        <f>IF(AND($B23="",$C23=""),"",(Sarjeta!$C$17/Sarjeta!$C$16)^(2/3)*(ABS($K23)^0.5)/Sarjeta!$C$14)</f>
        <v/>
      </c>
      <c r="AC23" s="36" t="str">
        <f>IF(AND($B23="",$C23=""),"",IF(Z23&lt;AA23,0,MAX(ROUND(Z23/AA23,0)*2,ROUNDUP(ROUND(Z23/Sarjeta!$C$19,0)/2,0)*2)))</f>
        <v/>
      </c>
      <c r="AD23" s="26"/>
      <c r="AE23" s="27"/>
      <c r="AF23" s="32" t="str">
        <f>IF(OR($AE23="",AND($B23="",$C23="")),"",IF(ISERROR(VLOOKUP(AL23,Coeficientes!$A:$C,3,1)),0.05,VLOOKUP(AL23,Coeficientes!$A:$C,3,1)))</f>
        <v/>
      </c>
      <c r="AG23" s="12" t="str">
        <f t="shared" si="1"/>
        <v/>
      </c>
      <c r="AH23" s="30"/>
      <c r="AI23" s="31"/>
      <c r="AJ23" s="48" t="str">
        <f t="shared" si="14"/>
        <v/>
      </c>
      <c r="AK23" s="48" t="str">
        <f t="shared" si="15"/>
        <v/>
      </c>
      <c r="AL23" s="48" t="str">
        <f t="shared" si="16"/>
        <v/>
      </c>
      <c r="AM23" s="48" t="str">
        <f>IF(AND($B23="",$C23=""),"",VLOOKUP($AF23,Coeficientes!$C:$D,2,0))</f>
        <v/>
      </c>
      <c r="AN23" s="48" t="str">
        <f t="shared" si="17"/>
        <v/>
      </c>
      <c r="AO23" s="48" t="str">
        <f t="shared" si="18"/>
        <v/>
      </c>
      <c r="AP23" s="48" t="str">
        <f t="shared" si="19"/>
        <v/>
      </c>
      <c r="AQ23" s="48" t="str">
        <f t="shared" si="20"/>
        <v/>
      </c>
      <c r="AR23" s="48" t="str">
        <f t="shared" si="21"/>
        <v/>
      </c>
      <c r="AS23" s="48" t="str">
        <f t="shared" si="22"/>
        <v/>
      </c>
      <c r="AT23" s="48" t="str">
        <f t="shared" si="23"/>
        <v/>
      </c>
      <c r="AU23" s="48" t="str">
        <f t="shared" si="24"/>
        <v/>
      </c>
      <c r="AV23" s="48" t="str">
        <f t="shared" si="25"/>
        <v/>
      </c>
      <c r="AW23" s="48" t="str">
        <f t="shared" si="26"/>
        <v/>
      </c>
      <c r="AX23" s="48" t="str">
        <f t="shared" si="27"/>
        <v/>
      </c>
      <c r="AY23" s="48" t="str">
        <f t="shared" si="28"/>
        <v/>
      </c>
      <c r="AZ23" s="48" t="str">
        <f t="shared" si="29"/>
        <v/>
      </c>
      <c r="BA23" s="48" t="str">
        <f t="shared" si="30"/>
        <v/>
      </c>
      <c r="BB23" s="48" t="str">
        <f t="shared" si="31"/>
        <v/>
      </c>
    </row>
    <row r="24" spans="1:54" x14ac:dyDescent="0.2">
      <c r="A24" s="30"/>
      <c r="B24" s="23"/>
      <c r="C24" s="23"/>
      <c r="D24" s="24"/>
      <c r="E24" s="24"/>
      <c r="F24" s="24"/>
      <c r="G24" s="24"/>
      <c r="H24" s="10" t="str">
        <f t="shared" si="2"/>
        <v/>
      </c>
      <c r="I24" s="10" t="str">
        <f t="shared" si="3"/>
        <v/>
      </c>
      <c r="J24" s="24"/>
      <c r="K24" s="13" t="str">
        <f t="shared" si="4"/>
        <v/>
      </c>
      <c r="L24" s="13" t="str">
        <f t="shared" si="5"/>
        <v/>
      </c>
      <c r="M24" s="25"/>
      <c r="N24" s="25"/>
      <c r="O24" s="22"/>
      <c r="P24" s="11" t="str">
        <f t="shared" si="6"/>
        <v/>
      </c>
      <c r="Q24" s="26"/>
      <c r="R24" s="22"/>
      <c r="S24" s="29" t="str">
        <f t="shared" si="7"/>
        <v/>
      </c>
      <c r="T24" s="12" t="str">
        <f t="shared" si="8"/>
        <v/>
      </c>
      <c r="U24" s="12" t="str">
        <f t="shared" si="9"/>
        <v/>
      </c>
      <c r="V24" s="12" t="str">
        <f>IF(AND($B24="",$C24=""),"",HLOOKUP(VLOOKUP($B$1,'Cidade-ER'!$A:$B,2,0),$AP$6:$BB24,ROW()-5,0))</f>
        <v/>
      </c>
      <c r="W24" s="12" t="str">
        <f t="shared" si="10"/>
        <v/>
      </c>
      <c r="X24" s="12" t="str">
        <f t="shared" si="11"/>
        <v/>
      </c>
      <c r="Y24" s="14" t="str">
        <f t="shared" si="12"/>
        <v/>
      </c>
      <c r="Z24" s="12" t="str">
        <f t="shared" si="13"/>
        <v/>
      </c>
      <c r="AA24" s="12" t="str">
        <f>IF(AND($B24="",$C24=""),"",(Sarjeta!$C$17^(5/3))*(Sarjeta!$C$16^(-2/3))*(ABS($K24)^0.5)/Sarjeta!$C$14*1000*2)</f>
        <v/>
      </c>
      <c r="AB24" s="12" t="str">
        <f>IF(AND($B24="",$C24=""),"",(Sarjeta!$C$17/Sarjeta!$C$16)^(2/3)*(ABS($K24)^0.5)/Sarjeta!$C$14)</f>
        <v/>
      </c>
      <c r="AC24" s="36" t="str">
        <f>IF(AND($B24="",$C24=""),"",IF(Z24&lt;AA24,0,MAX(ROUND(Z24/AA24,0)*2,ROUNDUP(ROUND(Z24/Sarjeta!$C$19,0)/2,0)*2)))</f>
        <v/>
      </c>
      <c r="AD24" s="26"/>
      <c r="AE24" s="27"/>
      <c r="AF24" s="32" t="str">
        <f>IF(OR($AE24="",AND($B24="",$C24="")),"",IF(ISERROR(VLOOKUP(AL24,Coeficientes!$A:$C,3,1)),0.05,VLOOKUP(AL24,Coeficientes!$A:$C,3,1)))</f>
        <v/>
      </c>
      <c r="AG24" s="12" t="str">
        <f t="shared" si="1"/>
        <v/>
      </c>
      <c r="AH24" s="30"/>
      <c r="AI24" s="31"/>
      <c r="AJ24" s="48" t="str">
        <f t="shared" si="14"/>
        <v/>
      </c>
      <c r="AK24" s="48" t="str">
        <f t="shared" si="15"/>
        <v/>
      </c>
      <c r="AL24" s="48" t="str">
        <f t="shared" si="16"/>
        <v/>
      </c>
      <c r="AM24" s="48" t="str">
        <f>IF(AND($B24="",$C24=""),"",VLOOKUP($AF24,Coeficientes!$C:$D,2,0))</f>
        <v/>
      </c>
      <c r="AN24" s="48" t="str">
        <f t="shared" si="17"/>
        <v/>
      </c>
      <c r="AO24" s="48" t="str">
        <f t="shared" si="18"/>
        <v/>
      </c>
      <c r="AP24" s="48" t="str">
        <f t="shared" si="19"/>
        <v/>
      </c>
      <c r="AQ24" s="48" t="str">
        <f t="shared" si="20"/>
        <v/>
      </c>
      <c r="AR24" s="48" t="str">
        <f t="shared" si="21"/>
        <v/>
      </c>
      <c r="AS24" s="48" t="str">
        <f t="shared" si="22"/>
        <v/>
      </c>
      <c r="AT24" s="48" t="str">
        <f t="shared" si="23"/>
        <v/>
      </c>
      <c r="AU24" s="48" t="str">
        <f t="shared" si="24"/>
        <v/>
      </c>
      <c r="AV24" s="48" t="str">
        <f t="shared" si="25"/>
        <v/>
      </c>
      <c r="AW24" s="48" t="str">
        <f t="shared" si="26"/>
        <v/>
      </c>
      <c r="AX24" s="48" t="str">
        <f t="shared" si="27"/>
        <v/>
      </c>
      <c r="AY24" s="48" t="str">
        <f t="shared" si="28"/>
        <v/>
      </c>
      <c r="AZ24" s="48" t="str">
        <f t="shared" si="29"/>
        <v/>
      </c>
      <c r="BA24" s="48" t="str">
        <f t="shared" si="30"/>
        <v/>
      </c>
      <c r="BB24" s="48" t="str">
        <f t="shared" si="31"/>
        <v/>
      </c>
    </row>
    <row r="25" spans="1:54" x14ac:dyDescent="0.2">
      <c r="A25" s="30"/>
      <c r="B25" s="23"/>
      <c r="C25" s="23"/>
      <c r="D25" s="24"/>
      <c r="E25" s="24"/>
      <c r="F25" s="24"/>
      <c r="G25" s="24"/>
      <c r="H25" s="10" t="str">
        <f t="shared" si="2"/>
        <v/>
      </c>
      <c r="I25" s="10" t="str">
        <f t="shared" si="3"/>
        <v/>
      </c>
      <c r="J25" s="24"/>
      <c r="K25" s="13" t="str">
        <f t="shared" si="4"/>
        <v/>
      </c>
      <c r="L25" s="13" t="str">
        <f t="shared" si="5"/>
        <v/>
      </c>
      <c r="M25" s="25"/>
      <c r="N25" s="25"/>
      <c r="O25" s="22"/>
      <c r="P25" s="11" t="str">
        <f t="shared" si="6"/>
        <v/>
      </c>
      <c r="Q25" s="26"/>
      <c r="R25" s="22"/>
      <c r="S25" s="29" t="str">
        <f t="shared" si="7"/>
        <v/>
      </c>
      <c r="T25" s="12" t="str">
        <f t="shared" si="8"/>
        <v/>
      </c>
      <c r="U25" s="12" t="str">
        <f t="shared" si="9"/>
        <v/>
      </c>
      <c r="V25" s="12" t="str">
        <f>IF(AND($B25="",$C25=""),"",HLOOKUP(VLOOKUP($B$1,'Cidade-ER'!$A:$B,2,0),$AP$6:$BB25,ROW()-5,0))</f>
        <v/>
      </c>
      <c r="W25" s="12" t="str">
        <f t="shared" si="10"/>
        <v/>
      </c>
      <c r="X25" s="12" t="str">
        <f t="shared" si="11"/>
        <v/>
      </c>
      <c r="Y25" s="14" t="str">
        <f t="shared" si="12"/>
        <v/>
      </c>
      <c r="Z25" s="12" t="str">
        <f t="shared" si="13"/>
        <v/>
      </c>
      <c r="AA25" s="12" t="str">
        <f>IF(AND($B25="",$C25=""),"",(Sarjeta!$C$17^(5/3))*(Sarjeta!$C$16^(-2/3))*(ABS($K25)^0.5)/Sarjeta!$C$14*1000*2)</f>
        <v/>
      </c>
      <c r="AB25" s="12" t="str">
        <f>IF(AND($B25="",$C25=""),"",(Sarjeta!$C$17/Sarjeta!$C$16)^(2/3)*(ABS($K25)^0.5)/Sarjeta!$C$14)</f>
        <v/>
      </c>
      <c r="AC25" s="36" t="str">
        <f>IF(AND($B25="",$C25=""),"",IF(Z25&lt;AA25,0,MAX(ROUND(Z25/AA25,0)*2,ROUNDUP(ROUND(Z25/Sarjeta!$C$19,0)/2,0)*2)))</f>
        <v/>
      </c>
      <c r="AD25" s="26"/>
      <c r="AE25" s="27"/>
      <c r="AF25" s="32" t="str">
        <f>IF(OR($AE25="",AND($B25="",$C25="")),"",IF(ISERROR(VLOOKUP(AL25,Coeficientes!$A:$C,3,1)),0.05,VLOOKUP(AL25,Coeficientes!$A:$C,3,1)))</f>
        <v/>
      </c>
      <c r="AG25" s="12" t="str">
        <f t="shared" si="1"/>
        <v/>
      </c>
      <c r="AH25" s="30"/>
      <c r="AI25" s="31"/>
      <c r="AJ25" s="48" t="str">
        <f t="shared" si="14"/>
        <v/>
      </c>
      <c r="AK25" s="48" t="str">
        <f t="shared" si="15"/>
        <v/>
      </c>
      <c r="AL25" s="48" t="str">
        <f t="shared" si="16"/>
        <v/>
      </c>
      <c r="AM25" s="48" t="str">
        <f>IF(AND($B25="",$C25=""),"",VLOOKUP($AF25,Coeficientes!$C:$D,2,0))</f>
        <v/>
      </c>
      <c r="AN25" s="48" t="str">
        <f t="shared" si="17"/>
        <v/>
      </c>
      <c r="AO25" s="48" t="str">
        <f t="shared" si="18"/>
        <v/>
      </c>
      <c r="AP25" s="48" t="str">
        <f t="shared" si="19"/>
        <v/>
      </c>
      <c r="AQ25" s="48" t="str">
        <f t="shared" si="20"/>
        <v/>
      </c>
      <c r="AR25" s="48" t="str">
        <f t="shared" si="21"/>
        <v/>
      </c>
      <c r="AS25" s="48" t="str">
        <f t="shared" si="22"/>
        <v/>
      </c>
      <c r="AT25" s="48" t="str">
        <f t="shared" si="23"/>
        <v/>
      </c>
      <c r="AU25" s="48" t="str">
        <f t="shared" si="24"/>
        <v/>
      </c>
      <c r="AV25" s="48" t="str">
        <f t="shared" si="25"/>
        <v/>
      </c>
      <c r="AW25" s="48" t="str">
        <f t="shared" si="26"/>
        <v/>
      </c>
      <c r="AX25" s="48" t="str">
        <f t="shared" si="27"/>
        <v/>
      </c>
      <c r="AY25" s="48" t="str">
        <f t="shared" si="28"/>
        <v/>
      </c>
      <c r="AZ25" s="48" t="str">
        <f t="shared" si="29"/>
        <v/>
      </c>
      <c r="BA25" s="48" t="str">
        <f t="shared" si="30"/>
        <v/>
      </c>
      <c r="BB25" s="48" t="str">
        <f t="shared" si="31"/>
        <v/>
      </c>
    </row>
    <row r="26" spans="1:54" x14ac:dyDescent="0.2">
      <c r="A26" s="30"/>
      <c r="B26" s="23"/>
      <c r="C26" s="23"/>
      <c r="D26" s="24"/>
      <c r="E26" s="24"/>
      <c r="F26" s="24"/>
      <c r="G26" s="24"/>
      <c r="H26" s="10" t="str">
        <f t="shared" si="2"/>
        <v/>
      </c>
      <c r="I26" s="10" t="str">
        <f t="shared" si="3"/>
        <v/>
      </c>
      <c r="J26" s="24"/>
      <c r="K26" s="13" t="str">
        <f t="shared" si="4"/>
        <v/>
      </c>
      <c r="L26" s="13" t="str">
        <f t="shared" si="5"/>
        <v/>
      </c>
      <c r="M26" s="25"/>
      <c r="N26" s="25"/>
      <c r="O26" s="22"/>
      <c r="P26" s="11" t="str">
        <f t="shared" si="6"/>
        <v/>
      </c>
      <c r="Q26" s="26"/>
      <c r="R26" s="22"/>
      <c r="S26" s="29" t="str">
        <f t="shared" si="7"/>
        <v/>
      </c>
      <c r="T26" s="12" t="str">
        <f t="shared" si="8"/>
        <v/>
      </c>
      <c r="U26" s="12" t="str">
        <f t="shared" si="9"/>
        <v/>
      </c>
      <c r="V26" s="12" t="str">
        <f>IF(AND($B26="",$C26=""),"",HLOOKUP(VLOOKUP($B$1,'Cidade-ER'!$A:$B,2,0),$AP$6:$BB26,ROW()-5,0))</f>
        <v/>
      </c>
      <c r="W26" s="12" t="str">
        <f t="shared" si="10"/>
        <v/>
      </c>
      <c r="X26" s="12" t="str">
        <f t="shared" si="11"/>
        <v/>
      </c>
      <c r="Y26" s="14" t="str">
        <f t="shared" si="12"/>
        <v/>
      </c>
      <c r="Z26" s="12" t="str">
        <f t="shared" si="13"/>
        <v/>
      </c>
      <c r="AA26" s="12" t="str">
        <f>IF(AND($B26="",$C26=""),"",(Sarjeta!$C$17^(5/3))*(Sarjeta!$C$16^(-2/3))*(ABS($K26)^0.5)/Sarjeta!$C$14*1000*2)</f>
        <v/>
      </c>
      <c r="AB26" s="12" t="str">
        <f>IF(AND($B26="",$C26=""),"",(Sarjeta!$C$17/Sarjeta!$C$16)^(2/3)*(ABS($K26)^0.5)/Sarjeta!$C$14)</f>
        <v/>
      </c>
      <c r="AC26" s="36" t="str">
        <f>IF(AND($B26="",$C26=""),"",IF(Z26&lt;AA26,0,MAX(ROUND(Z26/AA26,0)*2,ROUNDUP(ROUND(Z26/Sarjeta!$C$19,0)/2,0)*2)))</f>
        <v/>
      </c>
      <c r="AD26" s="26"/>
      <c r="AE26" s="27"/>
      <c r="AF26" s="32" t="str">
        <f>IF(OR($AE26="",AND($B26="",$C26="")),"",IF(ISERROR(VLOOKUP(AL26,Coeficientes!$A:$C,3,1)),0.05,VLOOKUP(AL26,Coeficientes!$A:$C,3,1)))</f>
        <v/>
      </c>
      <c r="AG26" s="12" t="str">
        <f t="shared" si="1"/>
        <v/>
      </c>
      <c r="AH26" s="30"/>
      <c r="AI26" s="31"/>
      <c r="AJ26" s="48" t="str">
        <f t="shared" si="14"/>
        <v/>
      </c>
      <c r="AK26" s="48" t="str">
        <f t="shared" si="15"/>
        <v/>
      </c>
      <c r="AL26" s="48" t="str">
        <f t="shared" si="16"/>
        <v/>
      </c>
      <c r="AM26" s="48" t="str">
        <f>IF(AND($B26="",$C26=""),"",VLOOKUP($AF26,Coeficientes!$C:$D,2,0))</f>
        <v/>
      </c>
      <c r="AN26" s="48" t="str">
        <f t="shared" si="17"/>
        <v/>
      </c>
      <c r="AO26" s="48" t="str">
        <f t="shared" si="18"/>
        <v/>
      </c>
      <c r="AP26" s="48" t="str">
        <f t="shared" si="19"/>
        <v/>
      </c>
      <c r="AQ26" s="48" t="str">
        <f t="shared" si="20"/>
        <v/>
      </c>
      <c r="AR26" s="48" t="str">
        <f t="shared" si="21"/>
        <v/>
      </c>
      <c r="AS26" s="48" t="str">
        <f t="shared" si="22"/>
        <v/>
      </c>
      <c r="AT26" s="48" t="str">
        <f t="shared" si="23"/>
        <v/>
      </c>
      <c r="AU26" s="48" t="str">
        <f t="shared" si="24"/>
        <v/>
      </c>
      <c r="AV26" s="48" t="str">
        <f t="shared" si="25"/>
        <v/>
      </c>
      <c r="AW26" s="48" t="str">
        <f t="shared" si="26"/>
        <v/>
      </c>
      <c r="AX26" s="48" t="str">
        <f t="shared" si="27"/>
        <v/>
      </c>
      <c r="AY26" s="48" t="str">
        <f t="shared" si="28"/>
        <v/>
      </c>
      <c r="AZ26" s="48" t="str">
        <f t="shared" si="29"/>
        <v/>
      </c>
      <c r="BA26" s="48" t="str">
        <f t="shared" si="30"/>
        <v/>
      </c>
      <c r="BB26" s="48" t="str">
        <f t="shared" si="31"/>
        <v/>
      </c>
    </row>
    <row r="27" spans="1:54" x14ac:dyDescent="0.2">
      <c r="A27" s="30"/>
      <c r="B27" s="23"/>
      <c r="C27" s="23"/>
      <c r="D27" s="24"/>
      <c r="E27" s="24"/>
      <c r="F27" s="24"/>
      <c r="G27" s="24"/>
      <c r="H27" s="10" t="str">
        <f t="shared" si="2"/>
        <v/>
      </c>
      <c r="I27" s="10" t="str">
        <f t="shared" si="3"/>
        <v/>
      </c>
      <c r="J27" s="24"/>
      <c r="K27" s="13" t="str">
        <f t="shared" si="4"/>
        <v/>
      </c>
      <c r="L27" s="13" t="str">
        <f t="shared" si="5"/>
        <v/>
      </c>
      <c r="M27" s="25"/>
      <c r="N27" s="25"/>
      <c r="O27" s="22"/>
      <c r="P27" s="11" t="str">
        <f t="shared" si="6"/>
        <v/>
      </c>
      <c r="Q27" s="26"/>
      <c r="R27" s="22"/>
      <c r="S27" s="29" t="str">
        <f t="shared" si="7"/>
        <v/>
      </c>
      <c r="T27" s="12" t="str">
        <f t="shared" si="8"/>
        <v/>
      </c>
      <c r="U27" s="12" t="str">
        <f t="shared" si="9"/>
        <v/>
      </c>
      <c r="V27" s="12" t="str">
        <f>IF(AND($B27="",$C27=""),"",HLOOKUP(VLOOKUP($B$1,'Cidade-ER'!$A:$B,2,0),$AP$6:$BB27,ROW()-5,0))</f>
        <v/>
      </c>
      <c r="W27" s="12" t="str">
        <f t="shared" si="10"/>
        <v/>
      </c>
      <c r="X27" s="12" t="str">
        <f t="shared" si="11"/>
        <v/>
      </c>
      <c r="Y27" s="14" t="str">
        <f t="shared" si="12"/>
        <v/>
      </c>
      <c r="Z27" s="12" t="str">
        <f t="shared" si="13"/>
        <v/>
      </c>
      <c r="AA27" s="12" t="str">
        <f>IF(AND($B27="",$C27=""),"",(Sarjeta!$C$17^(5/3))*(Sarjeta!$C$16^(-2/3))*(ABS($K27)^0.5)/Sarjeta!$C$14*1000*2)</f>
        <v/>
      </c>
      <c r="AB27" s="12" t="str">
        <f>IF(AND($B27="",$C27=""),"",(Sarjeta!$C$17/Sarjeta!$C$16)^(2/3)*(ABS($K27)^0.5)/Sarjeta!$C$14)</f>
        <v/>
      </c>
      <c r="AC27" s="36" t="str">
        <f>IF(AND($B27="",$C27=""),"",IF(Z27&lt;AA27,0,MAX(ROUND(Z27/AA27,0)*2,ROUNDUP(ROUND(Z27/Sarjeta!$C$19,0)/2,0)*2)))</f>
        <v/>
      </c>
      <c r="AD27" s="26"/>
      <c r="AE27" s="27"/>
      <c r="AF27" s="32" t="str">
        <f>IF(OR($AE27="",AND($B27="",$C27="")),"",IF(ISERROR(VLOOKUP(AL27,Coeficientes!$A:$C,3,1)),0.05,VLOOKUP(AL27,Coeficientes!$A:$C,3,1)))</f>
        <v/>
      </c>
      <c r="AG27" s="12" t="str">
        <f t="shared" si="1"/>
        <v/>
      </c>
      <c r="AH27" s="30"/>
      <c r="AI27" s="31"/>
      <c r="AJ27" s="48" t="str">
        <f t="shared" si="14"/>
        <v/>
      </c>
      <c r="AK27" s="48" t="str">
        <f t="shared" si="15"/>
        <v/>
      </c>
      <c r="AL27" s="48" t="str">
        <f t="shared" si="16"/>
        <v/>
      </c>
      <c r="AM27" s="48" t="str">
        <f>IF(AND($B27="",$C27=""),"",VLOOKUP($AF27,Coeficientes!$C:$D,2,0))</f>
        <v/>
      </c>
      <c r="AN27" s="48" t="str">
        <f t="shared" si="17"/>
        <v/>
      </c>
      <c r="AO27" s="48" t="str">
        <f t="shared" si="18"/>
        <v/>
      </c>
      <c r="AP27" s="48" t="str">
        <f t="shared" si="19"/>
        <v/>
      </c>
      <c r="AQ27" s="48" t="str">
        <f t="shared" si="20"/>
        <v/>
      </c>
      <c r="AR27" s="48" t="str">
        <f t="shared" si="21"/>
        <v/>
      </c>
      <c r="AS27" s="48" t="str">
        <f t="shared" si="22"/>
        <v/>
      </c>
      <c r="AT27" s="48" t="str">
        <f t="shared" si="23"/>
        <v/>
      </c>
      <c r="AU27" s="48" t="str">
        <f t="shared" si="24"/>
        <v/>
      </c>
      <c r="AV27" s="48" t="str">
        <f t="shared" si="25"/>
        <v/>
      </c>
      <c r="AW27" s="48" t="str">
        <f t="shared" si="26"/>
        <v/>
      </c>
      <c r="AX27" s="48" t="str">
        <f t="shared" si="27"/>
        <v/>
      </c>
      <c r="AY27" s="48" t="str">
        <f t="shared" si="28"/>
        <v/>
      </c>
      <c r="AZ27" s="48" t="str">
        <f t="shared" si="29"/>
        <v/>
      </c>
      <c r="BA27" s="48" t="str">
        <f t="shared" si="30"/>
        <v/>
      </c>
      <c r="BB27" s="48" t="str">
        <f t="shared" si="31"/>
        <v/>
      </c>
    </row>
    <row r="28" spans="1:54" x14ac:dyDescent="0.2">
      <c r="A28" s="30"/>
      <c r="B28" s="23"/>
      <c r="C28" s="23"/>
      <c r="D28" s="24"/>
      <c r="E28" s="24"/>
      <c r="F28" s="24"/>
      <c r="G28" s="24"/>
      <c r="H28" s="10" t="str">
        <f t="shared" si="2"/>
        <v/>
      </c>
      <c r="I28" s="10" t="str">
        <f t="shared" si="3"/>
        <v/>
      </c>
      <c r="J28" s="24"/>
      <c r="K28" s="13" t="str">
        <f t="shared" si="4"/>
        <v/>
      </c>
      <c r="L28" s="13" t="str">
        <f t="shared" si="5"/>
        <v/>
      </c>
      <c r="M28" s="25"/>
      <c r="N28" s="25"/>
      <c r="O28" s="22"/>
      <c r="P28" s="11" t="str">
        <f t="shared" si="6"/>
        <v/>
      </c>
      <c r="Q28" s="26"/>
      <c r="R28" s="22"/>
      <c r="S28" s="29" t="str">
        <f t="shared" si="7"/>
        <v/>
      </c>
      <c r="T28" s="12" t="str">
        <f t="shared" si="8"/>
        <v/>
      </c>
      <c r="U28" s="12" t="str">
        <f t="shared" si="9"/>
        <v/>
      </c>
      <c r="V28" s="12" t="str">
        <f>IF(AND($B28="",$C28=""),"",HLOOKUP(VLOOKUP($B$1,'Cidade-ER'!$A:$B,2,0),$AP$6:$BB28,ROW()-5,0))</f>
        <v/>
      </c>
      <c r="W28" s="12" t="str">
        <f t="shared" si="10"/>
        <v/>
      </c>
      <c r="X28" s="12" t="str">
        <f t="shared" si="11"/>
        <v/>
      </c>
      <c r="Y28" s="14" t="str">
        <f t="shared" si="12"/>
        <v/>
      </c>
      <c r="Z28" s="12" t="str">
        <f t="shared" si="13"/>
        <v/>
      </c>
      <c r="AA28" s="12" t="str">
        <f>IF(AND($B28="",$C28=""),"",(Sarjeta!$C$17^(5/3))*(Sarjeta!$C$16^(-2/3))*(ABS($K28)^0.5)/Sarjeta!$C$14*1000*2)</f>
        <v/>
      </c>
      <c r="AB28" s="12" t="str">
        <f>IF(AND($B28="",$C28=""),"",(Sarjeta!$C$17/Sarjeta!$C$16)^(2/3)*(ABS($K28)^0.5)/Sarjeta!$C$14)</f>
        <v/>
      </c>
      <c r="AC28" s="36" t="str">
        <f>IF(AND($B28="",$C28=""),"",IF(Z28&lt;AA28,0,MAX(ROUND(Z28/AA28,0)*2,ROUNDUP(ROUND(Z28/Sarjeta!$C$19,0)/2,0)*2)))</f>
        <v/>
      </c>
      <c r="AD28" s="26"/>
      <c r="AE28" s="27"/>
      <c r="AF28" s="32" t="str">
        <f>IF(OR($AE28="",AND($B28="",$C28="")),"",IF(ISERROR(VLOOKUP(AL28,Coeficientes!$A:$C,3,1)),0.05,VLOOKUP(AL28,Coeficientes!$A:$C,3,1)))</f>
        <v/>
      </c>
      <c r="AG28" s="12" t="str">
        <f t="shared" si="1"/>
        <v/>
      </c>
      <c r="AH28" s="30"/>
      <c r="AI28" s="31"/>
      <c r="AJ28" s="48" t="str">
        <f t="shared" si="14"/>
        <v/>
      </c>
      <c r="AK28" s="48" t="str">
        <f t="shared" si="15"/>
        <v/>
      </c>
      <c r="AL28" s="48" t="str">
        <f t="shared" si="16"/>
        <v/>
      </c>
      <c r="AM28" s="48" t="str">
        <f>IF(AND($B28="",$C28=""),"",VLOOKUP($AF28,Coeficientes!$C:$D,2,0))</f>
        <v/>
      </c>
      <c r="AN28" s="48" t="str">
        <f t="shared" si="17"/>
        <v/>
      </c>
      <c r="AO28" s="48" t="str">
        <f t="shared" si="18"/>
        <v/>
      </c>
      <c r="AP28" s="48" t="str">
        <f t="shared" si="19"/>
        <v/>
      </c>
      <c r="AQ28" s="48" t="str">
        <f t="shared" si="20"/>
        <v/>
      </c>
      <c r="AR28" s="48" t="str">
        <f t="shared" si="21"/>
        <v/>
      </c>
      <c r="AS28" s="48" t="str">
        <f t="shared" si="22"/>
        <v/>
      </c>
      <c r="AT28" s="48" t="str">
        <f t="shared" si="23"/>
        <v/>
      </c>
      <c r="AU28" s="48" t="str">
        <f t="shared" si="24"/>
        <v/>
      </c>
      <c r="AV28" s="48" t="str">
        <f t="shared" si="25"/>
        <v/>
      </c>
      <c r="AW28" s="48" t="str">
        <f t="shared" si="26"/>
        <v/>
      </c>
      <c r="AX28" s="48" t="str">
        <f t="shared" si="27"/>
        <v/>
      </c>
      <c r="AY28" s="48" t="str">
        <f t="shared" si="28"/>
        <v/>
      </c>
      <c r="AZ28" s="48" t="str">
        <f t="shared" si="29"/>
        <v/>
      </c>
      <c r="BA28" s="48" t="str">
        <f t="shared" si="30"/>
        <v/>
      </c>
      <c r="BB28" s="48" t="str">
        <f t="shared" si="31"/>
        <v/>
      </c>
    </row>
    <row r="29" spans="1:54" x14ac:dyDescent="0.2">
      <c r="A29" s="30"/>
      <c r="B29" s="23"/>
      <c r="C29" s="23"/>
      <c r="D29" s="24"/>
      <c r="E29" s="24"/>
      <c r="F29" s="24"/>
      <c r="G29" s="24"/>
      <c r="H29" s="10" t="str">
        <f t="shared" si="2"/>
        <v/>
      </c>
      <c r="I29" s="10" t="str">
        <f t="shared" si="3"/>
        <v/>
      </c>
      <c r="J29" s="24"/>
      <c r="K29" s="13" t="str">
        <f t="shared" si="4"/>
        <v/>
      </c>
      <c r="L29" s="13" t="str">
        <f t="shared" si="5"/>
        <v/>
      </c>
      <c r="M29" s="25"/>
      <c r="N29" s="25"/>
      <c r="O29" s="22"/>
      <c r="P29" s="11" t="str">
        <f t="shared" si="6"/>
        <v/>
      </c>
      <c r="Q29" s="26"/>
      <c r="R29" s="22"/>
      <c r="S29" s="29" t="str">
        <f t="shared" si="7"/>
        <v/>
      </c>
      <c r="T29" s="12" t="str">
        <f t="shared" si="8"/>
        <v/>
      </c>
      <c r="U29" s="12" t="str">
        <f t="shared" si="9"/>
        <v/>
      </c>
      <c r="V29" s="12" t="str">
        <f>IF(AND($B29="",$C29=""),"",HLOOKUP(VLOOKUP($B$1,'Cidade-ER'!$A:$B,2,0),$AP$6:$BB29,ROW()-5,0))</f>
        <v/>
      </c>
      <c r="W29" s="12" t="str">
        <f t="shared" si="10"/>
        <v/>
      </c>
      <c r="X29" s="12" t="str">
        <f t="shared" si="11"/>
        <v/>
      </c>
      <c r="Y29" s="14" t="str">
        <f t="shared" si="12"/>
        <v/>
      </c>
      <c r="Z29" s="12" t="str">
        <f t="shared" si="13"/>
        <v/>
      </c>
      <c r="AA29" s="12" t="str">
        <f>IF(AND($B29="",$C29=""),"",(Sarjeta!$C$17^(5/3))*(Sarjeta!$C$16^(-2/3))*(ABS($K29)^0.5)/Sarjeta!$C$14*1000*2)</f>
        <v/>
      </c>
      <c r="AB29" s="12" t="str">
        <f>IF(AND($B29="",$C29=""),"",(Sarjeta!$C$17/Sarjeta!$C$16)^(2/3)*(ABS($K29)^0.5)/Sarjeta!$C$14)</f>
        <v/>
      </c>
      <c r="AC29" s="36" t="str">
        <f>IF(AND($B29="",$C29=""),"",IF(Z29&lt;AA29,0,MAX(ROUND(Z29/AA29,0)*2,ROUNDUP(ROUND(Z29/Sarjeta!$C$19,0)/2,0)*2)))</f>
        <v/>
      </c>
      <c r="AD29" s="26"/>
      <c r="AE29" s="27"/>
      <c r="AF29" s="32" t="str">
        <f>IF(OR($AE29="",AND($B29="",$C29="")),"",IF(ISERROR(VLOOKUP(AL29,Coeficientes!$A:$C,3,1)),0.05,VLOOKUP(AL29,Coeficientes!$A:$C,3,1)))</f>
        <v/>
      </c>
      <c r="AG29" s="12" t="str">
        <f t="shared" si="1"/>
        <v/>
      </c>
      <c r="AH29" s="30"/>
      <c r="AI29" s="31"/>
      <c r="AJ29" s="48" t="str">
        <f t="shared" si="14"/>
        <v/>
      </c>
      <c r="AK29" s="48" t="str">
        <f t="shared" si="15"/>
        <v/>
      </c>
      <c r="AL29" s="48" t="str">
        <f t="shared" si="16"/>
        <v/>
      </c>
      <c r="AM29" s="48" t="str">
        <f>IF(AND($B29="",$C29=""),"",VLOOKUP($AF29,Coeficientes!$C:$D,2,0))</f>
        <v/>
      </c>
      <c r="AN29" s="48" t="str">
        <f t="shared" si="17"/>
        <v/>
      </c>
      <c r="AO29" s="48" t="str">
        <f t="shared" si="18"/>
        <v/>
      </c>
      <c r="AP29" s="48" t="str">
        <f t="shared" si="19"/>
        <v/>
      </c>
      <c r="AQ29" s="48" t="str">
        <f t="shared" si="20"/>
        <v/>
      </c>
      <c r="AR29" s="48" t="str">
        <f t="shared" si="21"/>
        <v/>
      </c>
      <c r="AS29" s="48" t="str">
        <f t="shared" si="22"/>
        <v/>
      </c>
      <c r="AT29" s="48" t="str">
        <f t="shared" si="23"/>
        <v/>
      </c>
      <c r="AU29" s="48" t="str">
        <f t="shared" si="24"/>
        <v/>
      </c>
      <c r="AV29" s="48" t="str">
        <f t="shared" si="25"/>
        <v/>
      </c>
      <c r="AW29" s="48" t="str">
        <f t="shared" si="26"/>
        <v/>
      </c>
      <c r="AX29" s="48" t="str">
        <f t="shared" si="27"/>
        <v/>
      </c>
      <c r="AY29" s="48" t="str">
        <f t="shared" si="28"/>
        <v/>
      </c>
      <c r="AZ29" s="48" t="str">
        <f t="shared" si="29"/>
        <v/>
      </c>
      <c r="BA29" s="48" t="str">
        <f t="shared" si="30"/>
        <v/>
      </c>
      <c r="BB29" s="48" t="str">
        <f t="shared" si="31"/>
        <v/>
      </c>
    </row>
    <row r="30" spans="1:54" x14ac:dyDescent="0.2">
      <c r="A30" s="30"/>
      <c r="B30" s="23"/>
      <c r="C30" s="23"/>
      <c r="D30" s="24"/>
      <c r="E30" s="24"/>
      <c r="F30" s="24"/>
      <c r="G30" s="24"/>
      <c r="H30" s="10" t="str">
        <f t="shared" si="2"/>
        <v/>
      </c>
      <c r="I30" s="10" t="str">
        <f t="shared" si="3"/>
        <v/>
      </c>
      <c r="J30" s="24"/>
      <c r="K30" s="13" t="str">
        <f t="shared" si="4"/>
        <v/>
      </c>
      <c r="L30" s="13" t="str">
        <f t="shared" si="5"/>
        <v/>
      </c>
      <c r="M30" s="25"/>
      <c r="N30" s="25"/>
      <c r="O30" s="22"/>
      <c r="P30" s="11" t="str">
        <f t="shared" si="6"/>
        <v/>
      </c>
      <c r="Q30" s="26"/>
      <c r="R30" s="22"/>
      <c r="S30" s="29" t="str">
        <f t="shared" si="7"/>
        <v/>
      </c>
      <c r="T30" s="12" t="str">
        <f t="shared" si="8"/>
        <v/>
      </c>
      <c r="U30" s="12" t="str">
        <f t="shared" si="9"/>
        <v/>
      </c>
      <c r="V30" s="12" t="str">
        <f>IF(AND($B30="",$C30=""),"",HLOOKUP(VLOOKUP($B$1,'Cidade-ER'!$A:$B,2,0),$AP$6:$BB30,ROW()-5,0))</f>
        <v/>
      </c>
      <c r="W30" s="12" t="str">
        <f t="shared" si="10"/>
        <v/>
      </c>
      <c r="X30" s="12" t="str">
        <f t="shared" si="11"/>
        <v/>
      </c>
      <c r="Y30" s="14" t="str">
        <f t="shared" si="12"/>
        <v/>
      </c>
      <c r="Z30" s="12" t="str">
        <f t="shared" si="13"/>
        <v/>
      </c>
      <c r="AA30" s="12" t="str">
        <f>IF(AND($B30="",$C30=""),"",(Sarjeta!$C$17^(5/3))*(Sarjeta!$C$16^(-2/3))*(ABS($K30)^0.5)/Sarjeta!$C$14*1000*2)</f>
        <v/>
      </c>
      <c r="AB30" s="12" t="str">
        <f>IF(AND($B30="",$C30=""),"",(Sarjeta!$C$17/Sarjeta!$C$16)^(2/3)*(ABS($K30)^0.5)/Sarjeta!$C$14)</f>
        <v/>
      </c>
      <c r="AC30" s="36" t="str">
        <f>IF(AND($B30="",$C30=""),"",IF(Z30&lt;AA30,0,MAX(ROUND(Z30/AA30,0)*2,ROUNDUP(ROUND(Z30/Sarjeta!$C$19,0)/2,0)*2)))</f>
        <v/>
      </c>
      <c r="AD30" s="26"/>
      <c r="AE30" s="27"/>
      <c r="AF30" s="32" t="str">
        <f>IF(OR($AE30="",AND($B30="",$C30="")),"",IF(ISERROR(VLOOKUP(AL30,Coeficientes!$A:$C,3,1)),0.05,VLOOKUP(AL30,Coeficientes!$A:$C,3,1)))</f>
        <v/>
      </c>
      <c r="AG30" s="12" t="str">
        <f t="shared" si="1"/>
        <v/>
      </c>
      <c r="AH30" s="30"/>
      <c r="AI30" s="31"/>
      <c r="AJ30" s="48" t="str">
        <f t="shared" si="14"/>
        <v/>
      </c>
      <c r="AK30" s="48" t="str">
        <f t="shared" si="15"/>
        <v/>
      </c>
      <c r="AL30" s="48" t="str">
        <f t="shared" si="16"/>
        <v/>
      </c>
      <c r="AM30" s="48" t="str">
        <f>IF(AND($B30="",$C30=""),"",VLOOKUP($AF30,Coeficientes!$C:$D,2,0))</f>
        <v/>
      </c>
      <c r="AN30" s="48" t="str">
        <f t="shared" si="17"/>
        <v/>
      </c>
      <c r="AO30" s="48" t="str">
        <f t="shared" si="18"/>
        <v/>
      </c>
      <c r="AP30" s="48" t="str">
        <f t="shared" si="19"/>
        <v/>
      </c>
      <c r="AQ30" s="48" t="str">
        <f t="shared" si="20"/>
        <v/>
      </c>
      <c r="AR30" s="48" t="str">
        <f t="shared" si="21"/>
        <v/>
      </c>
      <c r="AS30" s="48" t="str">
        <f t="shared" si="22"/>
        <v/>
      </c>
      <c r="AT30" s="48" t="str">
        <f t="shared" si="23"/>
        <v/>
      </c>
      <c r="AU30" s="48" t="str">
        <f t="shared" si="24"/>
        <v/>
      </c>
      <c r="AV30" s="48" t="str">
        <f t="shared" si="25"/>
        <v/>
      </c>
      <c r="AW30" s="48" t="str">
        <f t="shared" si="26"/>
        <v/>
      </c>
      <c r="AX30" s="48" t="str">
        <f t="shared" si="27"/>
        <v/>
      </c>
      <c r="AY30" s="48" t="str">
        <f t="shared" si="28"/>
        <v/>
      </c>
      <c r="AZ30" s="48" t="str">
        <f t="shared" si="29"/>
        <v/>
      </c>
      <c r="BA30" s="48" t="str">
        <f t="shared" si="30"/>
        <v/>
      </c>
      <c r="BB30" s="48" t="str">
        <f t="shared" si="31"/>
        <v/>
      </c>
    </row>
    <row r="31" spans="1:54" x14ac:dyDescent="0.2">
      <c r="A31" s="30"/>
      <c r="B31" s="23"/>
      <c r="C31" s="23"/>
      <c r="D31" s="24"/>
      <c r="E31" s="24"/>
      <c r="F31" s="24"/>
      <c r="G31" s="24"/>
      <c r="H31" s="10" t="str">
        <f t="shared" si="2"/>
        <v/>
      </c>
      <c r="I31" s="10" t="str">
        <f t="shared" si="3"/>
        <v/>
      </c>
      <c r="J31" s="24"/>
      <c r="K31" s="13" t="str">
        <f t="shared" si="4"/>
        <v/>
      </c>
      <c r="L31" s="13" t="str">
        <f t="shared" si="5"/>
        <v/>
      </c>
      <c r="M31" s="25"/>
      <c r="N31" s="25"/>
      <c r="O31" s="22"/>
      <c r="P31" s="11" t="str">
        <f t="shared" si="6"/>
        <v/>
      </c>
      <c r="Q31" s="26"/>
      <c r="R31" s="22"/>
      <c r="S31" s="29" t="str">
        <f t="shared" si="7"/>
        <v/>
      </c>
      <c r="T31" s="12" t="str">
        <f t="shared" si="8"/>
        <v/>
      </c>
      <c r="U31" s="12" t="str">
        <f t="shared" si="9"/>
        <v/>
      </c>
      <c r="V31" s="12" t="str">
        <f>IF(AND($B31="",$C31=""),"",HLOOKUP(VLOOKUP($B$1,'Cidade-ER'!$A:$B,2,0),$AP$6:$BB31,ROW()-5,0))</f>
        <v/>
      </c>
      <c r="W31" s="12" t="str">
        <f t="shared" si="10"/>
        <v/>
      </c>
      <c r="X31" s="12" t="str">
        <f t="shared" si="11"/>
        <v/>
      </c>
      <c r="Y31" s="14" t="str">
        <f t="shared" si="12"/>
        <v/>
      </c>
      <c r="Z31" s="12" t="str">
        <f t="shared" si="13"/>
        <v/>
      </c>
      <c r="AA31" s="12" t="str">
        <f>IF(AND($B31="",$C31=""),"",(Sarjeta!$C$17^(5/3))*(Sarjeta!$C$16^(-2/3))*(ABS($K31)^0.5)/Sarjeta!$C$14*1000*2)</f>
        <v/>
      </c>
      <c r="AB31" s="12" t="str">
        <f>IF(AND($B31="",$C31=""),"",(Sarjeta!$C$17/Sarjeta!$C$16)^(2/3)*(ABS($K31)^0.5)/Sarjeta!$C$14)</f>
        <v/>
      </c>
      <c r="AC31" s="36" t="str">
        <f>IF(AND($B31="",$C31=""),"",IF(Z31&lt;AA31,0,MAX(ROUND(Z31/AA31,0)*2,ROUNDUP(ROUND(Z31/Sarjeta!$C$19,0)/2,0)*2)))</f>
        <v/>
      </c>
      <c r="AD31" s="26"/>
      <c r="AE31" s="27"/>
      <c r="AF31" s="32" t="str">
        <f>IF(OR($AE31="",AND($B31="",$C31="")),"",IF(ISERROR(VLOOKUP(AL31,Coeficientes!$A:$C,3,1)),0.05,VLOOKUP(AL31,Coeficientes!$A:$C,3,1)))</f>
        <v/>
      </c>
      <c r="AG31" s="12" t="str">
        <f t="shared" si="1"/>
        <v/>
      </c>
      <c r="AH31" s="30"/>
      <c r="AI31" s="31"/>
      <c r="AJ31" s="48" t="str">
        <f t="shared" si="14"/>
        <v/>
      </c>
      <c r="AK31" s="48" t="str">
        <f t="shared" si="15"/>
        <v/>
      </c>
      <c r="AL31" s="48" t="str">
        <f t="shared" si="16"/>
        <v/>
      </c>
      <c r="AM31" s="48" t="str">
        <f>IF(AND($B31="",$C31=""),"",VLOOKUP($AF31,Coeficientes!$C:$D,2,0))</f>
        <v/>
      </c>
      <c r="AN31" s="48" t="str">
        <f t="shared" si="17"/>
        <v/>
      </c>
      <c r="AO31" s="48" t="str">
        <f t="shared" si="18"/>
        <v/>
      </c>
      <c r="AP31" s="48" t="str">
        <f t="shared" si="19"/>
        <v/>
      </c>
      <c r="AQ31" s="48" t="str">
        <f t="shared" si="20"/>
        <v/>
      </c>
      <c r="AR31" s="48" t="str">
        <f t="shared" si="21"/>
        <v/>
      </c>
      <c r="AS31" s="48" t="str">
        <f t="shared" si="22"/>
        <v/>
      </c>
      <c r="AT31" s="48" t="str">
        <f t="shared" si="23"/>
        <v/>
      </c>
      <c r="AU31" s="48" t="str">
        <f t="shared" si="24"/>
        <v/>
      </c>
      <c r="AV31" s="48" t="str">
        <f t="shared" si="25"/>
        <v/>
      </c>
      <c r="AW31" s="48" t="str">
        <f t="shared" si="26"/>
        <v/>
      </c>
      <c r="AX31" s="48" t="str">
        <f t="shared" si="27"/>
        <v/>
      </c>
      <c r="AY31" s="48" t="str">
        <f t="shared" si="28"/>
        <v/>
      </c>
      <c r="AZ31" s="48" t="str">
        <f t="shared" si="29"/>
        <v/>
      </c>
      <c r="BA31" s="48" t="str">
        <f t="shared" si="30"/>
        <v/>
      </c>
      <c r="BB31" s="48" t="str">
        <f t="shared" si="31"/>
        <v/>
      </c>
    </row>
    <row r="32" spans="1:54" x14ac:dyDescent="0.2">
      <c r="A32" s="30"/>
      <c r="B32" s="23"/>
      <c r="C32" s="23"/>
      <c r="D32" s="24"/>
      <c r="E32" s="24"/>
      <c r="F32" s="24"/>
      <c r="G32" s="24"/>
      <c r="H32" s="10" t="str">
        <f t="shared" si="2"/>
        <v/>
      </c>
      <c r="I32" s="10" t="str">
        <f t="shared" si="3"/>
        <v/>
      </c>
      <c r="J32" s="24"/>
      <c r="K32" s="13" t="str">
        <f t="shared" si="4"/>
        <v/>
      </c>
      <c r="L32" s="13" t="str">
        <f t="shared" si="5"/>
        <v/>
      </c>
      <c r="M32" s="25"/>
      <c r="N32" s="25"/>
      <c r="O32" s="22"/>
      <c r="P32" s="11" t="str">
        <f t="shared" si="6"/>
        <v/>
      </c>
      <c r="Q32" s="26"/>
      <c r="R32" s="22"/>
      <c r="S32" s="29" t="str">
        <f t="shared" si="7"/>
        <v/>
      </c>
      <c r="T32" s="12" t="str">
        <f t="shared" si="8"/>
        <v/>
      </c>
      <c r="U32" s="12" t="str">
        <f t="shared" si="9"/>
        <v/>
      </c>
      <c r="V32" s="12" t="str">
        <f>IF(AND($B32="",$C32=""),"",HLOOKUP(VLOOKUP($B$1,'Cidade-ER'!$A:$B,2,0),$AP$6:$BB32,ROW()-5,0))</f>
        <v/>
      </c>
      <c r="W32" s="12" t="str">
        <f t="shared" si="10"/>
        <v/>
      </c>
      <c r="X32" s="12" t="str">
        <f t="shared" si="11"/>
        <v/>
      </c>
      <c r="Y32" s="14" t="str">
        <f t="shared" si="12"/>
        <v/>
      </c>
      <c r="Z32" s="12" t="str">
        <f t="shared" si="13"/>
        <v/>
      </c>
      <c r="AA32" s="12" t="str">
        <f>IF(AND($B32="",$C32=""),"",(Sarjeta!$C$17^(5/3))*(Sarjeta!$C$16^(-2/3))*(ABS($K32)^0.5)/Sarjeta!$C$14*1000*2)</f>
        <v/>
      </c>
      <c r="AB32" s="12" t="str">
        <f>IF(AND($B32="",$C32=""),"",(Sarjeta!$C$17/Sarjeta!$C$16)^(2/3)*(ABS($K32)^0.5)/Sarjeta!$C$14)</f>
        <v/>
      </c>
      <c r="AC32" s="36" t="str">
        <f>IF(AND($B32="",$C32=""),"",IF(Z32&lt;AA32,0,MAX(ROUND(Z32/AA32,0)*2,ROUNDUP(ROUND(Z32/Sarjeta!$C$19,0)/2,0)*2)))</f>
        <v/>
      </c>
      <c r="AD32" s="26"/>
      <c r="AE32" s="27"/>
      <c r="AF32" s="32" t="str">
        <f>IF(OR($AE32="",AND($B32="",$C32="")),"",IF(ISERROR(VLOOKUP(AL32,Coeficientes!$A:$C,3,1)),0.05,VLOOKUP(AL32,Coeficientes!$A:$C,3,1)))</f>
        <v/>
      </c>
      <c r="AG32" s="12" t="str">
        <f t="shared" si="1"/>
        <v/>
      </c>
      <c r="AH32" s="30"/>
      <c r="AI32" s="31"/>
      <c r="AJ32" s="48" t="str">
        <f t="shared" si="14"/>
        <v/>
      </c>
      <c r="AK32" s="48" t="str">
        <f t="shared" si="15"/>
        <v/>
      </c>
      <c r="AL32" s="48" t="str">
        <f t="shared" si="16"/>
        <v/>
      </c>
      <c r="AM32" s="48" t="str">
        <f>IF(AND($B32="",$C32=""),"",VLOOKUP($AF32,Coeficientes!$C:$D,2,0))</f>
        <v/>
      </c>
      <c r="AN32" s="48" t="str">
        <f t="shared" si="17"/>
        <v/>
      </c>
      <c r="AO32" s="48" t="str">
        <f t="shared" si="18"/>
        <v/>
      </c>
      <c r="AP32" s="48" t="str">
        <f t="shared" si="19"/>
        <v/>
      </c>
      <c r="AQ32" s="48" t="str">
        <f t="shared" si="20"/>
        <v/>
      </c>
      <c r="AR32" s="48" t="str">
        <f t="shared" si="21"/>
        <v/>
      </c>
      <c r="AS32" s="48" t="str">
        <f t="shared" si="22"/>
        <v/>
      </c>
      <c r="AT32" s="48" t="str">
        <f t="shared" si="23"/>
        <v/>
      </c>
      <c r="AU32" s="48" t="str">
        <f t="shared" si="24"/>
        <v/>
      </c>
      <c r="AV32" s="48" t="str">
        <f t="shared" si="25"/>
        <v/>
      </c>
      <c r="AW32" s="48" t="str">
        <f t="shared" si="26"/>
        <v/>
      </c>
      <c r="AX32" s="48" t="str">
        <f t="shared" si="27"/>
        <v/>
      </c>
      <c r="AY32" s="48" t="str">
        <f t="shared" si="28"/>
        <v/>
      </c>
      <c r="AZ32" s="48" t="str">
        <f t="shared" si="29"/>
        <v/>
      </c>
      <c r="BA32" s="48" t="str">
        <f t="shared" si="30"/>
        <v/>
      </c>
      <c r="BB32" s="48" t="str">
        <f t="shared" si="31"/>
        <v/>
      </c>
    </row>
    <row r="33" spans="1:54" x14ac:dyDescent="0.2">
      <c r="A33" s="30"/>
      <c r="B33" s="23"/>
      <c r="C33" s="23"/>
      <c r="D33" s="24"/>
      <c r="E33" s="24"/>
      <c r="F33" s="24"/>
      <c r="G33" s="24"/>
      <c r="H33" s="10" t="str">
        <f t="shared" si="2"/>
        <v/>
      </c>
      <c r="I33" s="10" t="str">
        <f t="shared" si="3"/>
        <v/>
      </c>
      <c r="J33" s="24"/>
      <c r="K33" s="13" t="str">
        <f t="shared" si="4"/>
        <v/>
      </c>
      <c r="L33" s="13" t="str">
        <f t="shared" si="5"/>
        <v/>
      </c>
      <c r="M33" s="25"/>
      <c r="N33" s="25"/>
      <c r="O33" s="22"/>
      <c r="P33" s="11" t="str">
        <f t="shared" si="6"/>
        <v/>
      </c>
      <c r="Q33" s="26"/>
      <c r="R33" s="22"/>
      <c r="S33" s="29" t="str">
        <f t="shared" si="7"/>
        <v/>
      </c>
      <c r="T33" s="12" t="str">
        <f t="shared" si="8"/>
        <v/>
      </c>
      <c r="U33" s="12" t="str">
        <f t="shared" si="9"/>
        <v/>
      </c>
      <c r="V33" s="12" t="str">
        <f>IF(AND($B33="",$C33=""),"",HLOOKUP(VLOOKUP($B$1,'Cidade-ER'!$A:$B,2,0),$AP$6:$BB33,ROW()-5,0))</f>
        <v/>
      </c>
      <c r="W33" s="12" t="str">
        <f t="shared" si="10"/>
        <v/>
      </c>
      <c r="X33" s="12" t="str">
        <f t="shared" si="11"/>
        <v/>
      </c>
      <c r="Y33" s="14" t="str">
        <f t="shared" si="12"/>
        <v/>
      </c>
      <c r="Z33" s="12" t="str">
        <f t="shared" si="13"/>
        <v/>
      </c>
      <c r="AA33" s="12" t="str">
        <f>IF(AND($B33="",$C33=""),"",(Sarjeta!$C$17^(5/3))*(Sarjeta!$C$16^(-2/3))*(ABS($K33)^0.5)/Sarjeta!$C$14*1000*2)</f>
        <v/>
      </c>
      <c r="AB33" s="12" t="str">
        <f>IF(AND($B33="",$C33=""),"",(Sarjeta!$C$17/Sarjeta!$C$16)^(2/3)*(ABS($K33)^0.5)/Sarjeta!$C$14)</f>
        <v/>
      </c>
      <c r="AC33" s="36" t="str">
        <f>IF(AND($B33="",$C33=""),"",IF(Z33&lt;AA33,0,MAX(ROUND(Z33/AA33,0)*2,ROUNDUP(ROUND(Z33/Sarjeta!$C$19,0)/2,0)*2)))</f>
        <v/>
      </c>
      <c r="AD33" s="26"/>
      <c r="AE33" s="27"/>
      <c r="AF33" s="32" t="str">
        <f>IF(OR($AE33="",AND($B33="",$C33="")),"",IF(ISERROR(VLOOKUP(AL33,Coeficientes!$A:$C,3,1)),0.05,VLOOKUP(AL33,Coeficientes!$A:$C,3,1)))</f>
        <v/>
      </c>
      <c r="AG33" s="12" t="str">
        <f t="shared" si="1"/>
        <v/>
      </c>
      <c r="AH33" s="30"/>
      <c r="AI33" s="31"/>
      <c r="AJ33" s="48" t="str">
        <f t="shared" si="14"/>
        <v/>
      </c>
      <c r="AK33" s="48" t="str">
        <f t="shared" si="15"/>
        <v/>
      </c>
      <c r="AL33" s="48" t="str">
        <f t="shared" si="16"/>
        <v/>
      </c>
      <c r="AM33" s="48" t="str">
        <f>IF(AND($B33="",$C33=""),"",VLOOKUP($AF33,Coeficientes!$C:$D,2,0))</f>
        <v/>
      </c>
      <c r="AN33" s="48" t="str">
        <f t="shared" si="17"/>
        <v/>
      </c>
      <c r="AO33" s="48" t="str">
        <f t="shared" si="18"/>
        <v/>
      </c>
      <c r="AP33" s="48" t="str">
        <f t="shared" si="19"/>
        <v/>
      </c>
      <c r="AQ33" s="48" t="str">
        <f t="shared" si="20"/>
        <v/>
      </c>
      <c r="AR33" s="48" t="str">
        <f t="shared" si="21"/>
        <v/>
      </c>
      <c r="AS33" s="48" t="str">
        <f t="shared" si="22"/>
        <v/>
      </c>
      <c r="AT33" s="48" t="str">
        <f t="shared" si="23"/>
        <v/>
      </c>
      <c r="AU33" s="48" t="str">
        <f t="shared" si="24"/>
        <v/>
      </c>
      <c r="AV33" s="48" t="str">
        <f t="shared" si="25"/>
        <v/>
      </c>
      <c r="AW33" s="48" t="str">
        <f t="shared" si="26"/>
        <v/>
      </c>
      <c r="AX33" s="48" t="str">
        <f t="shared" si="27"/>
        <v/>
      </c>
      <c r="AY33" s="48" t="str">
        <f t="shared" si="28"/>
        <v/>
      </c>
      <c r="AZ33" s="48" t="str">
        <f t="shared" si="29"/>
        <v/>
      </c>
      <c r="BA33" s="48" t="str">
        <f t="shared" si="30"/>
        <v/>
      </c>
      <c r="BB33" s="48" t="str">
        <f t="shared" si="31"/>
        <v/>
      </c>
    </row>
    <row r="34" spans="1:54" x14ac:dyDescent="0.2">
      <c r="A34" s="30"/>
      <c r="B34" s="23"/>
      <c r="C34" s="23"/>
      <c r="D34" s="24"/>
      <c r="E34" s="24"/>
      <c r="F34" s="24"/>
      <c r="G34" s="24"/>
      <c r="H34" s="10" t="str">
        <f t="shared" si="2"/>
        <v/>
      </c>
      <c r="I34" s="10" t="str">
        <f t="shared" si="3"/>
        <v/>
      </c>
      <c r="J34" s="24"/>
      <c r="K34" s="13" t="str">
        <f t="shared" si="4"/>
        <v/>
      </c>
      <c r="L34" s="13" t="str">
        <f t="shared" si="5"/>
        <v/>
      </c>
      <c r="M34" s="25"/>
      <c r="N34" s="25"/>
      <c r="O34" s="22"/>
      <c r="P34" s="11" t="str">
        <f t="shared" si="6"/>
        <v/>
      </c>
      <c r="Q34" s="26"/>
      <c r="R34" s="22"/>
      <c r="S34" s="29" t="str">
        <f t="shared" si="7"/>
        <v/>
      </c>
      <c r="T34" s="12" t="str">
        <f t="shared" si="8"/>
        <v/>
      </c>
      <c r="U34" s="12" t="str">
        <f t="shared" si="9"/>
        <v/>
      </c>
      <c r="V34" s="12" t="str">
        <f>IF(AND($B34="",$C34=""),"",HLOOKUP(VLOOKUP($B$1,'Cidade-ER'!$A:$B,2,0),$AP$6:$BB34,ROW()-5,0))</f>
        <v/>
      </c>
      <c r="W34" s="12" t="str">
        <f t="shared" si="10"/>
        <v/>
      </c>
      <c r="X34" s="12" t="str">
        <f t="shared" si="11"/>
        <v/>
      </c>
      <c r="Y34" s="14" t="str">
        <f t="shared" si="12"/>
        <v/>
      </c>
      <c r="Z34" s="12" t="str">
        <f t="shared" si="13"/>
        <v/>
      </c>
      <c r="AA34" s="12" t="str">
        <f>IF(AND($B34="",$C34=""),"",(Sarjeta!$C$17^(5/3))*(Sarjeta!$C$16^(-2/3))*(ABS($K34)^0.5)/Sarjeta!$C$14*1000*2)</f>
        <v/>
      </c>
      <c r="AB34" s="12" t="str">
        <f>IF(AND($B34="",$C34=""),"",(Sarjeta!$C$17/Sarjeta!$C$16)^(2/3)*(ABS($K34)^0.5)/Sarjeta!$C$14)</f>
        <v/>
      </c>
      <c r="AC34" s="36" t="str">
        <f>IF(AND($B34="",$C34=""),"",IF(Z34&lt;AA34,0,MAX(ROUND(Z34/AA34,0)*2,ROUNDUP(ROUND(Z34/Sarjeta!$C$19,0)/2,0)*2)))</f>
        <v/>
      </c>
      <c r="AD34" s="26"/>
      <c r="AE34" s="27"/>
      <c r="AF34" s="32" t="str">
        <f>IF(OR($AE34="",AND($B34="",$C34="")),"",IF(ISERROR(VLOOKUP(AL34,Coeficientes!$A:$C,3,1)),0.05,VLOOKUP(AL34,Coeficientes!$A:$C,3,1)))</f>
        <v/>
      </c>
      <c r="AG34" s="12" t="str">
        <f t="shared" si="1"/>
        <v/>
      </c>
      <c r="AH34" s="30"/>
      <c r="AI34" s="31"/>
      <c r="AJ34" s="48" t="str">
        <f t="shared" si="14"/>
        <v/>
      </c>
      <c r="AK34" s="48" t="str">
        <f t="shared" si="15"/>
        <v/>
      </c>
      <c r="AL34" s="48" t="str">
        <f t="shared" si="16"/>
        <v/>
      </c>
      <c r="AM34" s="48" t="str">
        <f>IF(AND($B34="",$C34=""),"",VLOOKUP($AF34,Coeficientes!$C:$D,2,0))</f>
        <v/>
      </c>
      <c r="AN34" s="48" t="str">
        <f t="shared" si="17"/>
        <v/>
      </c>
      <c r="AO34" s="48" t="str">
        <f t="shared" si="18"/>
        <v/>
      </c>
      <c r="AP34" s="48" t="str">
        <f t="shared" si="19"/>
        <v/>
      </c>
      <c r="AQ34" s="48" t="str">
        <f t="shared" si="20"/>
        <v/>
      </c>
      <c r="AR34" s="48" t="str">
        <f t="shared" si="21"/>
        <v/>
      </c>
      <c r="AS34" s="48" t="str">
        <f t="shared" si="22"/>
        <v/>
      </c>
      <c r="AT34" s="48" t="str">
        <f t="shared" si="23"/>
        <v/>
      </c>
      <c r="AU34" s="48" t="str">
        <f t="shared" si="24"/>
        <v/>
      </c>
      <c r="AV34" s="48" t="str">
        <f t="shared" si="25"/>
        <v/>
      </c>
      <c r="AW34" s="48" t="str">
        <f t="shared" si="26"/>
        <v/>
      </c>
      <c r="AX34" s="48" t="str">
        <f t="shared" si="27"/>
        <v/>
      </c>
      <c r="AY34" s="48" t="str">
        <f t="shared" si="28"/>
        <v/>
      </c>
      <c r="AZ34" s="48" t="str">
        <f t="shared" si="29"/>
        <v/>
      </c>
      <c r="BA34" s="48" t="str">
        <f t="shared" si="30"/>
        <v/>
      </c>
      <c r="BB34" s="48" t="str">
        <f t="shared" si="31"/>
        <v/>
      </c>
    </row>
    <row r="35" spans="1:54" x14ac:dyDescent="0.2">
      <c r="A35" s="30"/>
      <c r="B35" s="23"/>
      <c r="C35" s="23"/>
      <c r="D35" s="24"/>
      <c r="E35" s="24"/>
      <c r="F35" s="24"/>
      <c r="G35" s="24"/>
      <c r="H35" s="10" t="str">
        <f t="shared" si="2"/>
        <v/>
      </c>
      <c r="I35" s="10" t="str">
        <f t="shared" si="3"/>
        <v/>
      </c>
      <c r="J35" s="24"/>
      <c r="K35" s="13" t="str">
        <f t="shared" si="4"/>
        <v/>
      </c>
      <c r="L35" s="13" t="str">
        <f t="shared" si="5"/>
        <v/>
      </c>
      <c r="M35" s="25"/>
      <c r="N35" s="25"/>
      <c r="O35" s="22"/>
      <c r="P35" s="11" t="str">
        <f t="shared" si="6"/>
        <v/>
      </c>
      <c r="Q35" s="26"/>
      <c r="R35" s="22"/>
      <c r="S35" s="29" t="str">
        <f t="shared" si="7"/>
        <v/>
      </c>
      <c r="T35" s="12" t="str">
        <f t="shared" si="8"/>
        <v/>
      </c>
      <c r="U35" s="12" t="str">
        <f t="shared" si="9"/>
        <v/>
      </c>
      <c r="V35" s="12" t="str">
        <f>IF(AND($B35="",$C35=""),"",HLOOKUP(VLOOKUP($B$1,'Cidade-ER'!$A:$B,2,0),$AP$6:$BB35,ROW()-5,0))</f>
        <v/>
      </c>
      <c r="W35" s="12" t="str">
        <f t="shared" si="10"/>
        <v/>
      </c>
      <c r="X35" s="12" t="str">
        <f t="shared" si="11"/>
        <v/>
      </c>
      <c r="Y35" s="14" t="str">
        <f t="shared" si="12"/>
        <v/>
      </c>
      <c r="Z35" s="12" t="str">
        <f t="shared" si="13"/>
        <v/>
      </c>
      <c r="AA35" s="12" t="str">
        <f>IF(AND($B35="",$C35=""),"",(Sarjeta!$C$17^(5/3))*(Sarjeta!$C$16^(-2/3))*(ABS($K35)^0.5)/Sarjeta!$C$14*1000*2)</f>
        <v/>
      </c>
      <c r="AB35" s="12" t="str">
        <f>IF(AND($B35="",$C35=""),"",(Sarjeta!$C$17/Sarjeta!$C$16)^(2/3)*(ABS($K35)^0.5)/Sarjeta!$C$14)</f>
        <v/>
      </c>
      <c r="AC35" s="36" t="str">
        <f>IF(AND($B35="",$C35=""),"",IF(Z35&lt;AA35,0,MAX(ROUND(Z35/AA35,0)*2,ROUNDUP(ROUND(Z35/Sarjeta!$C$19,0)/2,0)*2)))</f>
        <v/>
      </c>
      <c r="AD35" s="26"/>
      <c r="AE35" s="27"/>
      <c r="AF35" s="32" t="str">
        <f>IF(OR($AE35="",AND($B35="",$C35="")),"",IF(ISERROR(VLOOKUP(AL35,Coeficientes!$A:$C,3,1)),0.05,VLOOKUP(AL35,Coeficientes!$A:$C,3,1)))</f>
        <v/>
      </c>
      <c r="AG35" s="12" t="str">
        <f t="shared" si="1"/>
        <v/>
      </c>
      <c r="AH35" s="30"/>
      <c r="AI35" s="31"/>
      <c r="AJ35" s="48" t="str">
        <f t="shared" si="14"/>
        <v/>
      </c>
      <c r="AK35" s="48" t="str">
        <f t="shared" si="15"/>
        <v/>
      </c>
      <c r="AL35" s="48" t="str">
        <f t="shared" si="16"/>
        <v/>
      </c>
      <c r="AM35" s="48" t="str">
        <f>IF(AND($B35="",$C35=""),"",VLOOKUP($AF35,Coeficientes!$C:$D,2,0))</f>
        <v/>
      </c>
      <c r="AN35" s="48" t="str">
        <f t="shared" si="17"/>
        <v/>
      </c>
      <c r="AO35" s="48" t="str">
        <f t="shared" si="18"/>
        <v/>
      </c>
      <c r="AP35" s="48" t="str">
        <f t="shared" si="19"/>
        <v/>
      </c>
      <c r="AQ35" s="48" t="str">
        <f t="shared" si="20"/>
        <v/>
      </c>
      <c r="AR35" s="48" t="str">
        <f t="shared" si="21"/>
        <v/>
      </c>
      <c r="AS35" s="48" t="str">
        <f t="shared" si="22"/>
        <v/>
      </c>
      <c r="AT35" s="48" t="str">
        <f t="shared" si="23"/>
        <v/>
      </c>
      <c r="AU35" s="48" t="str">
        <f t="shared" si="24"/>
        <v/>
      </c>
      <c r="AV35" s="48" t="str">
        <f t="shared" si="25"/>
        <v/>
      </c>
      <c r="AW35" s="48" t="str">
        <f t="shared" si="26"/>
        <v/>
      </c>
      <c r="AX35" s="48" t="str">
        <f t="shared" si="27"/>
        <v/>
      </c>
      <c r="AY35" s="48" t="str">
        <f t="shared" si="28"/>
        <v/>
      </c>
      <c r="AZ35" s="48" t="str">
        <f t="shared" si="29"/>
        <v/>
      </c>
      <c r="BA35" s="48" t="str">
        <f t="shared" si="30"/>
        <v/>
      </c>
      <c r="BB35" s="48" t="str">
        <f t="shared" si="31"/>
        <v/>
      </c>
    </row>
    <row r="36" spans="1:54" x14ac:dyDescent="0.2">
      <c r="A36" s="30"/>
      <c r="B36" s="23"/>
      <c r="C36" s="23"/>
      <c r="D36" s="24"/>
      <c r="E36" s="24"/>
      <c r="F36" s="24"/>
      <c r="G36" s="24"/>
      <c r="H36" s="10" t="str">
        <f t="shared" si="2"/>
        <v/>
      </c>
      <c r="I36" s="10" t="str">
        <f t="shared" si="3"/>
        <v/>
      </c>
      <c r="J36" s="24"/>
      <c r="K36" s="13" t="str">
        <f t="shared" si="4"/>
        <v/>
      </c>
      <c r="L36" s="13" t="str">
        <f t="shared" si="5"/>
        <v/>
      </c>
      <c r="M36" s="25"/>
      <c r="N36" s="25"/>
      <c r="O36" s="22"/>
      <c r="P36" s="11" t="str">
        <f t="shared" si="6"/>
        <v/>
      </c>
      <c r="Q36" s="26"/>
      <c r="R36" s="22"/>
      <c r="S36" s="29" t="str">
        <f t="shared" si="7"/>
        <v/>
      </c>
      <c r="T36" s="12" t="str">
        <f t="shared" si="8"/>
        <v/>
      </c>
      <c r="U36" s="12" t="str">
        <f t="shared" si="9"/>
        <v/>
      </c>
      <c r="V36" s="12" t="str">
        <f>IF(AND($B36="",$C36=""),"",HLOOKUP(VLOOKUP($B$1,'Cidade-ER'!$A:$B,2,0),$AP$6:$BB36,ROW()-5,0))</f>
        <v/>
      </c>
      <c r="W36" s="12" t="str">
        <f t="shared" si="10"/>
        <v/>
      </c>
      <c r="X36" s="12" t="str">
        <f t="shared" si="11"/>
        <v/>
      </c>
      <c r="Y36" s="14" t="str">
        <f t="shared" si="12"/>
        <v/>
      </c>
      <c r="Z36" s="12" t="str">
        <f t="shared" si="13"/>
        <v/>
      </c>
      <c r="AA36" s="12" t="str">
        <f>IF(AND($B36="",$C36=""),"",(Sarjeta!$C$17^(5/3))*(Sarjeta!$C$16^(-2/3))*(ABS($K36)^0.5)/Sarjeta!$C$14*1000*2)</f>
        <v/>
      </c>
      <c r="AB36" s="12" t="str">
        <f>IF(AND($B36="",$C36=""),"",(Sarjeta!$C$17/Sarjeta!$C$16)^(2/3)*(ABS($K36)^0.5)/Sarjeta!$C$14)</f>
        <v/>
      </c>
      <c r="AC36" s="36" t="str">
        <f>IF(AND($B36="",$C36=""),"",IF(Z36&lt;AA36,0,MAX(ROUND(Z36/AA36,0)*2,ROUNDUP(ROUND(Z36/Sarjeta!$C$19,0)/2,0)*2)))</f>
        <v/>
      </c>
      <c r="AD36" s="26"/>
      <c r="AE36" s="27"/>
      <c r="AF36" s="32" t="str">
        <f>IF(OR($AE36="",AND($B36="",$C36="")),"",IF(ISERROR(VLOOKUP(AL36,Coeficientes!$A:$C,3,1)),0.05,VLOOKUP(AL36,Coeficientes!$A:$C,3,1)))</f>
        <v/>
      </c>
      <c r="AG36" s="12" t="str">
        <f t="shared" si="1"/>
        <v/>
      </c>
      <c r="AH36" s="30"/>
      <c r="AI36" s="31"/>
      <c r="AJ36" s="48" t="str">
        <f t="shared" si="14"/>
        <v/>
      </c>
      <c r="AK36" s="48" t="str">
        <f t="shared" si="15"/>
        <v/>
      </c>
      <c r="AL36" s="48" t="str">
        <f t="shared" si="16"/>
        <v/>
      </c>
      <c r="AM36" s="48" t="str">
        <f>IF(AND($B36="",$C36=""),"",VLOOKUP($AF36,Coeficientes!$C:$D,2,0))</f>
        <v/>
      </c>
      <c r="AN36" s="48" t="str">
        <f t="shared" si="17"/>
        <v/>
      </c>
      <c r="AO36" s="48" t="str">
        <f t="shared" si="18"/>
        <v/>
      </c>
      <c r="AP36" s="48" t="str">
        <f t="shared" si="19"/>
        <v/>
      </c>
      <c r="AQ36" s="48" t="str">
        <f t="shared" si="20"/>
        <v/>
      </c>
      <c r="AR36" s="48" t="str">
        <f t="shared" si="21"/>
        <v/>
      </c>
      <c r="AS36" s="48" t="str">
        <f t="shared" si="22"/>
        <v/>
      </c>
      <c r="AT36" s="48" t="str">
        <f t="shared" si="23"/>
        <v/>
      </c>
      <c r="AU36" s="48" t="str">
        <f t="shared" si="24"/>
        <v/>
      </c>
      <c r="AV36" s="48" t="str">
        <f t="shared" si="25"/>
        <v/>
      </c>
      <c r="AW36" s="48" t="str">
        <f t="shared" si="26"/>
        <v/>
      </c>
      <c r="AX36" s="48" t="str">
        <f t="shared" si="27"/>
        <v/>
      </c>
      <c r="AY36" s="48" t="str">
        <f t="shared" si="28"/>
        <v/>
      </c>
      <c r="AZ36" s="48" t="str">
        <f t="shared" si="29"/>
        <v/>
      </c>
      <c r="BA36" s="48" t="str">
        <f t="shared" si="30"/>
        <v/>
      </c>
      <c r="BB36" s="48" t="str">
        <f t="shared" si="31"/>
        <v/>
      </c>
    </row>
    <row r="37" spans="1:54" x14ac:dyDescent="0.2">
      <c r="A37" s="30"/>
      <c r="B37" s="23"/>
      <c r="C37" s="23"/>
      <c r="D37" s="24"/>
      <c r="E37" s="24"/>
      <c r="F37" s="24"/>
      <c r="G37" s="24"/>
      <c r="H37" s="10" t="str">
        <f t="shared" si="2"/>
        <v/>
      </c>
      <c r="I37" s="10" t="str">
        <f t="shared" si="3"/>
        <v/>
      </c>
      <c r="J37" s="24"/>
      <c r="K37" s="13" t="str">
        <f t="shared" si="4"/>
        <v/>
      </c>
      <c r="L37" s="13" t="str">
        <f t="shared" si="5"/>
        <v/>
      </c>
      <c r="M37" s="25"/>
      <c r="N37" s="25"/>
      <c r="O37" s="22"/>
      <c r="P37" s="11" t="str">
        <f t="shared" si="6"/>
        <v/>
      </c>
      <c r="Q37" s="26"/>
      <c r="R37" s="22"/>
      <c r="S37" s="29" t="str">
        <f t="shared" si="7"/>
        <v/>
      </c>
      <c r="T37" s="12" t="str">
        <f t="shared" si="8"/>
        <v/>
      </c>
      <c r="U37" s="12" t="str">
        <f t="shared" si="9"/>
        <v/>
      </c>
      <c r="V37" s="12" t="str">
        <f>IF(AND($B37="",$C37=""),"",HLOOKUP(VLOOKUP($B$1,'Cidade-ER'!$A:$B,2,0),$AP$6:$BB37,ROW()-5,0))</f>
        <v/>
      </c>
      <c r="W37" s="12" t="str">
        <f t="shared" si="10"/>
        <v/>
      </c>
      <c r="X37" s="12" t="str">
        <f t="shared" si="11"/>
        <v/>
      </c>
      <c r="Y37" s="14" t="str">
        <f t="shared" si="12"/>
        <v/>
      </c>
      <c r="Z37" s="12" t="str">
        <f t="shared" si="13"/>
        <v/>
      </c>
      <c r="AA37" s="12" t="str">
        <f>IF(AND($B37="",$C37=""),"",(Sarjeta!$C$17^(5/3))*(Sarjeta!$C$16^(-2/3))*(ABS($K37)^0.5)/Sarjeta!$C$14*1000*2)</f>
        <v/>
      </c>
      <c r="AB37" s="12" t="str">
        <f>IF(AND($B37="",$C37=""),"",(Sarjeta!$C$17/Sarjeta!$C$16)^(2/3)*(ABS($K37)^0.5)/Sarjeta!$C$14)</f>
        <v/>
      </c>
      <c r="AC37" s="36" t="str">
        <f>IF(AND($B37="",$C37=""),"",IF(Z37&lt;AA37,0,MAX(ROUND(Z37/AA37,0)*2,ROUNDUP(ROUND(Z37/Sarjeta!$C$19,0)/2,0)*2)))</f>
        <v/>
      </c>
      <c r="AD37" s="26"/>
      <c r="AE37" s="27"/>
      <c r="AF37" s="32" t="str">
        <f>IF(OR($AE37="",AND($B37="",$C37="")),"",IF(ISERROR(VLOOKUP(AL37,Coeficientes!$A:$C,3,1)),0.05,VLOOKUP(AL37,Coeficientes!$A:$C,3,1)))</f>
        <v/>
      </c>
      <c r="AG37" s="12" t="str">
        <f t="shared" si="1"/>
        <v/>
      </c>
      <c r="AH37" s="30"/>
      <c r="AI37" s="31"/>
      <c r="AJ37" s="48" t="str">
        <f t="shared" si="14"/>
        <v/>
      </c>
      <c r="AK37" s="48" t="str">
        <f t="shared" si="15"/>
        <v/>
      </c>
      <c r="AL37" s="48" t="str">
        <f t="shared" si="16"/>
        <v/>
      </c>
      <c r="AM37" s="48" t="str">
        <f>IF(AND($B37="",$C37=""),"",VLOOKUP($AF37,Coeficientes!$C:$D,2,0))</f>
        <v/>
      </c>
      <c r="AN37" s="48" t="str">
        <f t="shared" si="17"/>
        <v/>
      </c>
      <c r="AO37" s="48" t="str">
        <f t="shared" si="18"/>
        <v/>
      </c>
      <c r="AP37" s="48" t="str">
        <f t="shared" si="19"/>
        <v/>
      </c>
      <c r="AQ37" s="48" t="str">
        <f t="shared" si="20"/>
        <v/>
      </c>
      <c r="AR37" s="48" t="str">
        <f t="shared" si="21"/>
        <v/>
      </c>
      <c r="AS37" s="48" t="str">
        <f t="shared" si="22"/>
        <v/>
      </c>
      <c r="AT37" s="48" t="str">
        <f t="shared" si="23"/>
        <v/>
      </c>
      <c r="AU37" s="48" t="str">
        <f t="shared" si="24"/>
        <v/>
      </c>
      <c r="AV37" s="48" t="str">
        <f t="shared" si="25"/>
        <v/>
      </c>
      <c r="AW37" s="48" t="str">
        <f t="shared" si="26"/>
        <v/>
      </c>
      <c r="AX37" s="48" t="str">
        <f t="shared" si="27"/>
        <v/>
      </c>
      <c r="AY37" s="48" t="str">
        <f t="shared" si="28"/>
        <v/>
      </c>
      <c r="AZ37" s="48" t="str">
        <f t="shared" si="29"/>
        <v/>
      </c>
      <c r="BA37" s="48" t="str">
        <f t="shared" si="30"/>
        <v/>
      </c>
      <c r="BB37" s="48" t="str">
        <f t="shared" si="31"/>
        <v/>
      </c>
    </row>
    <row r="38" spans="1:54" x14ac:dyDescent="0.2">
      <c r="A38" s="30"/>
      <c r="B38" s="23"/>
      <c r="C38" s="23"/>
      <c r="D38" s="24"/>
      <c r="E38" s="24"/>
      <c r="F38" s="24"/>
      <c r="G38" s="24"/>
      <c r="H38" s="10" t="str">
        <f t="shared" si="2"/>
        <v/>
      </c>
      <c r="I38" s="10" t="str">
        <f t="shared" si="3"/>
        <v/>
      </c>
      <c r="J38" s="24"/>
      <c r="K38" s="13" t="str">
        <f t="shared" si="4"/>
        <v/>
      </c>
      <c r="L38" s="13" t="str">
        <f t="shared" si="5"/>
        <v/>
      </c>
      <c r="M38" s="25"/>
      <c r="N38" s="25"/>
      <c r="O38" s="22"/>
      <c r="P38" s="11" t="str">
        <f t="shared" si="6"/>
        <v/>
      </c>
      <c r="Q38" s="26"/>
      <c r="R38" s="22"/>
      <c r="S38" s="29" t="str">
        <f t="shared" si="7"/>
        <v/>
      </c>
      <c r="T38" s="12" t="str">
        <f t="shared" si="8"/>
        <v/>
      </c>
      <c r="U38" s="12" t="str">
        <f t="shared" si="9"/>
        <v/>
      </c>
      <c r="V38" s="12" t="str">
        <f>IF(AND($B38="",$C38=""),"",HLOOKUP(VLOOKUP($B$1,'Cidade-ER'!$A:$B,2,0),$AP$6:$BB38,ROW()-5,0))</f>
        <v/>
      </c>
      <c r="W38" s="12" t="str">
        <f t="shared" si="10"/>
        <v/>
      </c>
      <c r="X38" s="12" t="str">
        <f t="shared" si="11"/>
        <v/>
      </c>
      <c r="Y38" s="14" t="str">
        <f t="shared" si="12"/>
        <v/>
      </c>
      <c r="Z38" s="12" t="str">
        <f t="shared" si="13"/>
        <v/>
      </c>
      <c r="AA38" s="12" t="str">
        <f>IF(AND($B38="",$C38=""),"",(Sarjeta!$C$17^(5/3))*(Sarjeta!$C$16^(-2/3))*(ABS($K38)^0.5)/Sarjeta!$C$14*1000*2)</f>
        <v/>
      </c>
      <c r="AB38" s="12" t="str">
        <f>IF(AND($B38="",$C38=""),"",(Sarjeta!$C$17/Sarjeta!$C$16)^(2/3)*(ABS($K38)^0.5)/Sarjeta!$C$14)</f>
        <v/>
      </c>
      <c r="AC38" s="36" t="str">
        <f>IF(AND($B38="",$C38=""),"",IF(Z38&lt;AA38,0,MAX(ROUND(Z38/AA38,0)*2,ROUNDUP(ROUND(Z38/Sarjeta!$C$19,0)/2,0)*2)))</f>
        <v/>
      </c>
      <c r="AD38" s="26"/>
      <c r="AE38" s="27"/>
      <c r="AF38" s="32" t="str">
        <f>IF(OR($AE38="",AND($B38="",$C38="")),"",IF(ISERROR(VLOOKUP(AL38,Coeficientes!$A:$C,3,1)),0.05,VLOOKUP(AL38,Coeficientes!$A:$C,3,1)))</f>
        <v/>
      </c>
      <c r="AG38" s="12" t="str">
        <f t="shared" si="1"/>
        <v/>
      </c>
      <c r="AH38" s="30"/>
      <c r="AI38" s="31"/>
      <c r="AJ38" s="48" t="str">
        <f t="shared" si="14"/>
        <v/>
      </c>
      <c r="AK38" s="48" t="str">
        <f t="shared" si="15"/>
        <v/>
      </c>
      <c r="AL38" s="48" t="str">
        <f t="shared" si="16"/>
        <v/>
      </c>
      <c r="AM38" s="48" t="str">
        <f>IF(AND($B38="",$C38=""),"",VLOOKUP($AF38,Coeficientes!$C:$D,2,0))</f>
        <v/>
      </c>
      <c r="AN38" s="48" t="str">
        <f t="shared" si="17"/>
        <v/>
      </c>
      <c r="AO38" s="48" t="str">
        <f t="shared" si="18"/>
        <v/>
      </c>
      <c r="AP38" s="48" t="str">
        <f t="shared" si="19"/>
        <v/>
      </c>
      <c r="AQ38" s="48" t="str">
        <f t="shared" si="20"/>
        <v/>
      </c>
      <c r="AR38" s="48" t="str">
        <f t="shared" si="21"/>
        <v/>
      </c>
      <c r="AS38" s="48" t="str">
        <f t="shared" si="22"/>
        <v/>
      </c>
      <c r="AT38" s="48" t="str">
        <f t="shared" si="23"/>
        <v/>
      </c>
      <c r="AU38" s="48" t="str">
        <f t="shared" si="24"/>
        <v/>
      </c>
      <c r="AV38" s="48" t="str">
        <f t="shared" si="25"/>
        <v/>
      </c>
      <c r="AW38" s="48" t="str">
        <f t="shared" si="26"/>
        <v/>
      </c>
      <c r="AX38" s="48" t="str">
        <f t="shared" si="27"/>
        <v/>
      </c>
      <c r="AY38" s="48" t="str">
        <f t="shared" si="28"/>
        <v/>
      </c>
      <c r="AZ38" s="48" t="str">
        <f t="shared" si="29"/>
        <v/>
      </c>
      <c r="BA38" s="48" t="str">
        <f t="shared" si="30"/>
        <v/>
      </c>
      <c r="BB38" s="48" t="str">
        <f t="shared" si="31"/>
        <v/>
      </c>
    </row>
    <row r="39" spans="1:54" x14ac:dyDescent="0.2">
      <c r="A39" s="30"/>
      <c r="B39" s="23"/>
      <c r="C39" s="23"/>
      <c r="D39" s="24"/>
      <c r="E39" s="24"/>
      <c r="F39" s="24"/>
      <c r="G39" s="24"/>
      <c r="H39" s="10" t="str">
        <f t="shared" si="2"/>
        <v/>
      </c>
      <c r="I39" s="10" t="str">
        <f t="shared" si="3"/>
        <v/>
      </c>
      <c r="J39" s="24"/>
      <c r="K39" s="13" t="str">
        <f t="shared" si="4"/>
        <v/>
      </c>
      <c r="L39" s="13" t="str">
        <f t="shared" si="5"/>
        <v/>
      </c>
      <c r="M39" s="25"/>
      <c r="N39" s="25"/>
      <c r="O39" s="22"/>
      <c r="P39" s="11" t="str">
        <f t="shared" si="6"/>
        <v/>
      </c>
      <c r="Q39" s="26"/>
      <c r="R39" s="22"/>
      <c r="S39" s="29" t="str">
        <f t="shared" si="7"/>
        <v/>
      </c>
      <c r="T39" s="12" t="str">
        <f t="shared" si="8"/>
        <v/>
      </c>
      <c r="U39" s="12" t="str">
        <f t="shared" si="9"/>
        <v/>
      </c>
      <c r="V39" s="12" t="str">
        <f>IF(AND($B39="",$C39=""),"",HLOOKUP(VLOOKUP($B$1,'Cidade-ER'!$A:$B,2,0),$AP$6:$BB39,ROW()-5,0))</f>
        <v/>
      </c>
      <c r="W39" s="12" t="str">
        <f t="shared" si="10"/>
        <v/>
      </c>
      <c r="X39" s="12" t="str">
        <f t="shared" si="11"/>
        <v/>
      </c>
      <c r="Y39" s="14" t="str">
        <f t="shared" si="12"/>
        <v/>
      </c>
      <c r="Z39" s="12" t="str">
        <f t="shared" si="13"/>
        <v/>
      </c>
      <c r="AA39" s="12" t="str">
        <f>IF(AND($B39="",$C39=""),"",(Sarjeta!$C$17^(5/3))*(Sarjeta!$C$16^(-2/3))*(ABS($K39)^0.5)/Sarjeta!$C$14*1000*2)</f>
        <v/>
      </c>
      <c r="AB39" s="12" t="str">
        <f>IF(AND($B39="",$C39=""),"",(Sarjeta!$C$17/Sarjeta!$C$16)^(2/3)*(ABS($K39)^0.5)/Sarjeta!$C$14)</f>
        <v/>
      </c>
      <c r="AC39" s="36" t="str">
        <f>IF(AND($B39="",$C39=""),"",IF(Z39&lt;AA39,0,MAX(ROUND(Z39/AA39,0)*2,ROUNDUP(ROUND(Z39/Sarjeta!$C$19,0)/2,0)*2)))</f>
        <v/>
      </c>
      <c r="AD39" s="26"/>
      <c r="AE39" s="27"/>
      <c r="AF39" s="32" t="str">
        <f>IF(OR($AE39="",AND($B39="",$C39="")),"",IF(ISERROR(VLOOKUP(AL39,Coeficientes!$A:$C,3,1)),0.05,VLOOKUP(AL39,Coeficientes!$A:$C,3,1)))</f>
        <v/>
      </c>
      <c r="AG39" s="12" t="str">
        <f t="shared" si="1"/>
        <v/>
      </c>
      <c r="AH39" s="30"/>
      <c r="AI39" s="31"/>
      <c r="AJ39" s="48" t="str">
        <f t="shared" si="14"/>
        <v/>
      </c>
      <c r="AK39" s="48" t="str">
        <f t="shared" si="15"/>
        <v/>
      </c>
      <c r="AL39" s="48" t="str">
        <f t="shared" si="16"/>
        <v/>
      </c>
      <c r="AM39" s="48" t="str">
        <f>IF(AND($B39="",$C39=""),"",VLOOKUP($AF39,Coeficientes!$C:$D,2,0))</f>
        <v/>
      </c>
      <c r="AN39" s="48" t="str">
        <f t="shared" si="17"/>
        <v/>
      </c>
      <c r="AO39" s="48" t="str">
        <f t="shared" si="18"/>
        <v/>
      </c>
      <c r="AP39" s="48" t="str">
        <f t="shared" si="19"/>
        <v/>
      </c>
      <c r="AQ39" s="48" t="str">
        <f t="shared" si="20"/>
        <v/>
      </c>
      <c r="AR39" s="48" t="str">
        <f t="shared" si="21"/>
        <v/>
      </c>
      <c r="AS39" s="48" t="str">
        <f t="shared" si="22"/>
        <v/>
      </c>
      <c r="AT39" s="48" t="str">
        <f t="shared" si="23"/>
        <v/>
      </c>
      <c r="AU39" s="48" t="str">
        <f t="shared" si="24"/>
        <v/>
      </c>
      <c r="AV39" s="48" t="str">
        <f t="shared" si="25"/>
        <v/>
      </c>
      <c r="AW39" s="48" t="str">
        <f t="shared" si="26"/>
        <v/>
      </c>
      <c r="AX39" s="48" t="str">
        <f t="shared" si="27"/>
        <v/>
      </c>
      <c r="AY39" s="48" t="str">
        <f t="shared" si="28"/>
        <v/>
      </c>
      <c r="AZ39" s="48" t="str">
        <f t="shared" si="29"/>
        <v/>
      </c>
      <c r="BA39" s="48" t="str">
        <f t="shared" si="30"/>
        <v/>
      </c>
      <c r="BB39" s="48" t="str">
        <f t="shared" si="31"/>
        <v/>
      </c>
    </row>
    <row r="40" spans="1:54" x14ac:dyDescent="0.2">
      <c r="A40" s="30"/>
      <c r="B40" s="23"/>
      <c r="C40" s="23"/>
      <c r="D40" s="24"/>
      <c r="E40" s="24"/>
      <c r="F40" s="24"/>
      <c r="G40" s="24"/>
      <c r="H40" s="10" t="str">
        <f t="shared" si="2"/>
        <v/>
      </c>
      <c r="I40" s="10" t="str">
        <f t="shared" si="3"/>
        <v/>
      </c>
      <c r="J40" s="24"/>
      <c r="K40" s="13" t="str">
        <f t="shared" si="4"/>
        <v/>
      </c>
      <c r="L40" s="13" t="str">
        <f t="shared" si="5"/>
        <v/>
      </c>
      <c r="M40" s="25"/>
      <c r="N40" s="25"/>
      <c r="O40" s="22"/>
      <c r="P40" s="11" t="str">
        <f t="shared" si="6"/>
        <v/>
      </c>
      <c r="Q40" s="26"/>
      <c r="R40" s="22"/>
      <c r="S40" s="29" t="str">
        <f t="shared" si="7"/>
        <v/>
      </c>
      <c r="T40" s="12" t="str">
        <f t="shared" si="8"/>
        <v/>
      </c>
      <c r="U40" s="12" t="str">
        <f t="shared" si="9"/>
        <v/>
      </c>
      <c r="V40" s="12" t="str">
        <f>IF(AND($B40="",$C40=""),"",HLOOKUP(VLOOKUP($B$1,'Cidade-ER'!$A:$B,2,0),$AP$6:$BB40,ROW()-5,0))</f>
        <v/>
      </c>
      <c r="W40" s="12" t="str">
        <f t="shared" si="10"/>
        <v/>
      </c>
      <c r="X40" s="12" t="str">
        <f t="shared" si="11"/>
        <v/>
      </c>
      <c r="Y40" s="14" t="str">
        <f t="shared" si="12"/>
        <v/>
      </c>
      <c r="Z40" s="12" t="str">
        <f t="shared" si="13"/>
        <v/>
      </c>
      <c r="AA40" s="12" t="str">
        <f>IF(AND($B40="",$C40=""),"",(Sarjeta!$C$17^(5/3))*(Sarjeta!$C$16^(-2/3))*(ABS($K40)^0.5)/Sarjeta!$C$14*1000*2)</f>
        <v/>
      </c>
      <c r="AB40" s="12" t="str">
        <f>IF(AND($B40="",$C40=""),"",(Sarjeta!$C$17/Sarjeta!$C$16)^(2/3)*(ABS($K40)^0.5)/Sarjeta!$C$14)</f>
        <v/>
      </c>
      <c r="AC40" s="36" t="str">
        <f>IF(AND($B40="",$C40=""),"",IF(Z40&lt;AA40,0,MAX(ROUND(Z40/AA40,0)*2,ROUNDUP(ROUND(Z40/Sarjeta!$C$19,0)/2,0)*2)))</f>
        <v/>
      </c>
      <c r="AD40" s="26"/>
      <c r="AE40" s="27"/>
      <c r="AF40" s="32" t="str">
        <f>IF(OR($AE40="",AND($B40="",$C40="")),"",IF(ISERROR(VLOOKUP(AL40,Coeficientes!$A:$C,3,1)),0.05,VLOOKUP(AL40,Coeficientes!$A:$C,3,1)))</f>
        <v/>
      </c>
      <c r="AG40" s="12" t="str">
        <f t="shared" si="1"/>
        <v/>
      </c>
      <c r="AH40" s="30"/>
      <c r="AI40" s="31"/>
      <c r="AJ40" s="48" t="str">
        <f t="shared" si="14"/>
        <v/>
      </c>
      <c r="AK40" s="48" t="str">
        <f t="shared" si="15"/>
        <v/>
      </c>
      <c r="AL40" s="48" t="str">
        <f t="shared" si="16"/>
        <v/>
      </c>
      <c r="AM40" s="48" t="str">
        <f>IF(AND($B40="",$C40=""),"",VLOOKUP($AF40,Coeficientes!$C:$D,2,0))</f>
        <v/>
      </c>
      <c r="AN40" s="48" t="str">
        <f t="shared" si="17"/>
        <v/>
      </c>
      <c r="AO40" s="48" t="str">
        <f t="shared" si="18"/>
        <v/>
      </c>
      <c r="AP40" s="48" t="str">
        <f t="shared" si="19"/>
        <v/>
      </c>
      <c r="AQ40" s="48" t="str">
        <f t="shared" si="20"/>
        <v/>
      </c>
      <c r="AR40" s="48" t="str">
        <f t="shared" si="21"/>
        <v/>
      </c>
      <c r="AS40" s="48" t="str">
        <f t="shared" si="22"/>
        <v/>
      </c>
      <c r="AT40" s="48" t="str">
        <f t="shared" si="23"/>
        <v/>
      </c>
      <c r="AU40" s="48" t="str">
        <f t="shared" si="24"/>
        <v/>
      </c>
      <c r="AV40" s="48" t="str">
        <f t="shared" si="25"/>
        <v/>
      </c>
      <c r="AW40" s="48" t="str">
        <f t="shared" si="26"/>
        <v/>
      </c>
      <c r="AX40" s="48" t="str">
        <f t="shared" si="27"/>
        <v/>
      </c>
      <c r="AY40" s="48" t="str">
        <f t="shared" si="28"/>
        <v/>
      </c>
      <c r="AZ40" s="48" t="str">
        <f t="shared" si="29"/>
        <v/>
      </c>
      <c r="BA40" s="48" t="str">
        <f t="shared" si="30"/>
        <v/>
      </c>
      <c r="BB40" s="48" t="str">
        <f t="shared" si="31"/>
        <v/>
      </c>
    </row>
    <row r="41" spans="1:54" x14ac:dyDescent="0.2">
      <c r="A41" s="30"/>
      <c r="B41" s="23"/>
      <c r="C41" s="23"/>
      <c r="D41" s="24"/>
      <c r="E41" s="24"/>
      <c r="F41" s="24"/>
      <c r="G41" s="24"/>
      <c r="H41" s="10" t="str">
        <f t="shared" si="2"/>
        <v/>
      </c>
      <c r="I41" s="10" t="str">
        <f t="shared" si="3"/>
        <v/>
      </c>
      <c r="J41" s="24"/>
      <c r="K41" s="13" t="str">
        <f t="shared" si="4"/>
        <v/>
      </c>
      <c r="L41" s="13" t="str">
        <f t="shared" si="5"/>
        <v/>
      </c>
      <c r="M41" s="25"/>
      <c r="N41" s="25"/>
      <c r="O41" s="22"/>
      <c r="P41" s="11" t="str">
        <f t="shared" si="6"/>
        <v/>
      </c>
      <c r="Q41" s="26"/>
      <c r="R41" s="22"/>
      <c r="S41" s="29" t="str">
        <f t="shared" si="7"/>
        <v/>
      </c>
      <c r="T41" s="12" t="str">
        <f t="shared" si="8"/>
        <v/>
      </c>
      <c r="U41" s="12" t="str">
        <f t="shared" si="9"/>
        <v/>
      </c>
      <c r="V41" s="12" t="str">
        <f>IF(AND($B41="",$C41=""),"",HLOOKUP(VLOOKUP($B$1,'Cidade-ER'!$A:$B,2,0),$AP$6:$BB41,ROW()-5,0))</f>
        <v/>
      </c>
      <c r="W41" s="12" t="str">
        <f t="shared" si="10"/>
        <v/>
      </c>
      <c r="X41" s="12" t="str">
        <f t="shared" si="11"/>
        <v/>
      </c>
      <c r="Y41" s="14" t="str">
        <f t="shared" si="12"/>
        <v/>
      </c>
      <c r="Z41" s="12" t="str">
        <f t="shared" si="13"/>
        <v/>
      </c>
      <c r="AA41" s="12" t="str">
        <f>IF(AND($B41="",$C41=""),"",(Sarjeta!$C$17^(5/3))*(Sarjeta!$C$16^(-2/3))*(ABS($K41)^0.5)/Sarjeta!$C$14*1000*2)</f>
        <v/>
      </c>
      <c r="AB41" s="12" t="str">
        <f>IF(AND($B41="",$C41=""),"",(Sarjeta!$C$17/Sarjeta!$C$16)^(2/3)*(ABS($K41)^0.5)/Sarjeta!$C$14)</f>
        <v/>
      </c>
      <c r="AC41" s="36" t="str">
        <f>IF(AND($B41="",$C41=""),"",IF(Z41&lt;AA41,0,MAX(ROUND(Z41/AA41,0)*2,ROUNDUP(ROUND(Z41/Sarjeta!$C$19,0)/2,0)*2)))</f>
        <v/>
      </c>
      <c r="AD41" s="26"/>
      <c r="AE41" s="27"/>
      <c r="AF41" s="32" t="str">
        <f>IF(OR($AE41="",AND($B41="",$C41="")),"",IF(ISERROR(VLOOKUP(AL41,Coeficientes!$A:$C,3,1)),0.05,VLOOKUP(AL41,Coeficientes!$A:$C,3,1)))</f>
        <v/>
      </c>
      <c r="AG41" s="12" t="str">
        <f t="shared" si="1"/>
        <v/>
      </c>
      <c r="AH41" s="30"/>
      <c r="AI41" s="31"/>
      <c r="AJ41" s="48" t="str">
        <f t="shared" si="14"/>
        <v/>
      </c>
      <c r="AK41" s="48" t="str">
        <f t="shared" si="15"/>
        <v/>
      </c>
      <c r="AL41" s="48" t="str">
        <f t="shared" si="16"/>
        <v/>
      </c>
      <c r="AM41" s="48" t="str">
        <f>IF(AND($B41="",$C41=""),"",VLOOKUP($AF41,Coeficientes!$C:$D,2,0))</f>
        <v/>
      </c>
      <c r="AN41" s="48" t="str">
        <f t="shared" si="17"/>
        <v/>
      </c>
      <c r="AO41" s="48" t="str">
        <f t="shared" si="18"/>
        <v/>
      </c>
      <c r="AP41" s="48" t="str">
        <f t="shared" si="19"/>
        <v/>
      </c>
      <c r="AQ41" s="48" t="str">
        <f t="shared" si="20"/>
        <v/>
      </c>
      <c r="AR41" s="48" t="str">
        <f t="shared" si="21"/>
        <v/>
      </c>
      <c r="AS41" s="48" t="str">
        <f t="shared" si="22"/>
        <v/>
      </c>
      <c r="AT41" s="48" t="str">
        <f t="shared" si="23"/>
        <v/>
      </c>
      <c r="AU41" s="48" t="str">
        <f t="shared" si="24"/>
        <v/>
      </c>
      <c r="AV41" s="48" t="str">
        <f t="shared" si="25"/>
        <v/>
      </c>
      <c r="AW41" s="48" t="str">
        <f t="shared" si="26"/>
        <v/>
      </c>
      <c r="AX41" s="48" t="str">
        <f t="shared" si="27"/>
        <v/>
      </c>
      <c r="AY41" s="48" t="str">
        <f t="shared" si="28"/>
        <v/>
      </c>
      <c r="AZ41" s="48" t="str">
        <f t="shared" si="29"/>
        <v/>
      </c>
      <c r="BA41" s="48" t="str">
        <f t="shared" si="30"/>
        <v/>
      </c>
      <c r="BB41" s="48" t="str">
        <f t="shared" si="31"/>
        <v/>
      </c>
    </row>
    <row r="42" spans="1:54" x14ac:dyDescent="0.2">
      <c r="A42" s="30"/>
      <c r="B42" s="23"/>
      <c r="C42" s="23"/>
      <c r="D42" s="24"/>
      <c r="E42" s="24"/>
      <c r="F42" s="24"/>
      <c r="G42" s="24"/>
      <c r="H42" s="10" t="str">
        <f t="shared" si="2"/>
        <v/>
      </c>
      <c r="I42" s="10" t="str">
        <f t="shared" si="3"/>
        <v/>
      </c>
      <c r="J42" s="24"/>
      <c r="K42" s="13" t="str">
        <f t="shared" si="4"/>
        <v/>
      </c>
      <c r="L42" s="13" t="str">
        <f t="shared" si="5"/>
        <v/>
      </c>
      <c r="M42" s="25"/>
      <c r="N42" s="25"/>
      <c r="O42" s="22"/>
      <c r="P42" s="11" t="str">
        <f t="shared" si="6"/>
        <v/>
      </c>
      <c r="Q42" s="26"/>
      <c r="R42" s="22"/>
      <c r="S42" s="29" t="str">
        <f t="shared" si="7"/>
        <v/>
      </c>
      <c r="T42" s="12" t="str">
        <f t="shared" si="8"/>
        <v/>
      </c>
      <c r="U42" s="12" t="str">
        <f t="shared" si="9"/>
        <v/>
      </c>
      <c r="V42" s="12" t="str">
        <f>IF(AND($B42="",$C42=""),"",HLOOKUP(VLOOKUP($B$1,'Cidade-ER'!$A:$B,2,0),$AP$6:$BB42,ROW()-5,0))</f>
        <v/>
      </c>
      <c r="W42" s="12" t="str">
        <f t="shared" si="10"/>
        <v/>
      </c>
      <c r="X42" s="12" t="str">
        <f t="shared" si="11"/>
        <v/>
      </c>
      <c r="Y42" s="14" t="str">
        <f t="shared" si="12"/>
        <v/>
      </c>
      <c r="Z42" s="12" t="str">
        <f t="shared" si="13"/>
        <v/>
      </c>
      <c r="AA42" s="12" t="str">
        <f>IF(AND($B42="",$C42=""),"",(Sarjeta!$C$17^(5/3))*(Sarjeta!$C$16^(-2/3))*(ABS($K42)^0.5)/Sarjeta!$C$14*1000*2)</f>
        <v/>
      </c>
      <c r="AB42" s="12" t="str">
        <f>IF(AND($B42="",$C42=""),"",(Sarjeta!$C$17/Sarjeta!$C$16)^(2/3)*(ABS($K42)^0.5)/Sarjeta!$C$14)</f>
        <v/>
      </c>
      <c r="AC42" s="36" t="str">
        <f>IF(AND($B42="",$C42=""),"",IF(Z42&lt;AA42,0,MAX(ROUND(Z42/AA42,0)*2,ROUNDUP(ROUND(Z42/Sarjeta!$C$19,0)/2,0)*2)))</f>
        <v/>
      </c>
      <c r="AD42" s="26"/>
      <c r="AE42" s="27"/>
      <c r="AF42" s="32" t="str">
        <f>IF(OR($AE42="",AND($B42="",$C42="")),"",IF(ISERROR(VLOOKUP(AL42,Coeficientes!$A:$C,3,1)),0.05,VLOOKUP(AL42,Coeficientes!$A:$C,3,1)))</f>
        <v/>
      </c>
      <c r="AG42" s="12" t="str">
        <f t="shared" si="1"/>
        <v/>
      </c>
      <c r="AH42" s="30"/>
      <c r="AI42" s="31"/>
      <c r="AJ42" s="48" t="str">
        <f t="shared" si="14"/>
        <v/>
      </c>
      <c r="AK42" s="48" t="str">
        <f t="shared" si="15"/>
        <v/>
      </c>
      <c r="AL42" s="48" t="str">
        <f t="shared" si="16"/>
        <v/>
      </c>
      <c r="AM42" s="48" t="str">
        <f>IF(AND($B42="",$C42=""),"",VLOOKUP($AF42,Coeficientes!$C:$D,2,0))</f>
        <v/>
      </c>
      <c r="AN42" s="48" t="str">
        <f t="shared" si="17"/>
        <v/>
      </c>
      <c r="AO42" s="48" t="str">
        <f t="shared" si="18"/>
        <v/>
      </c>
      <c r="AP42" s="48" t="str">
        <f t="shared" si="19"/>
        <v/>
      </c>
      <c r="AQ42" s="48" t="str">
        <f t="shared" si="20"/>
        <v/>
      </c>
      <c r="AR42" s="48" t="str">
        <f t="shared" si="21"/>
        <v/>
      </c>
      <c r="AS42" s="48" t="str">
        <f t="shared" si="22"/>
        <v/>
      </c>
      <c r="AT42" s="48" t="str">
        <f t="shared" si="23"/>
        <v/>
      </c>
      <c r="AU42" s="48" t="str">
        <f t="shared" si="24"/>
        <v/>
      </c>
      <c r="AV42" s="48" t="str">
        <f t="shared" si="25"/>
        <v/>
      </c>
      <c r="AW42" s="48" t="str">
        <f t="shared" si="26"/>
        <v/>
      </c>
      <c r="AX42" s="48" t="str">
        <f t="shared" si="27"/>
        <v/>
      </c>
      <c r="AY42" s="48" t="str">
        <f t="shared" si="28"/>
        <v/>
      </c>
      <c r="AZ42" s="48" t="str">
        <f t="shared" si="29"/>
        <v/>
      </c>
      <c r="BA42" s="48" t="str">
        <f t="shared" si="30"/>
        <v/>
      </c>
      <c r="BB42" s="48" t="str">
        <f t="shared" si="31"/>
        <v/>
      </c>
    </row>
    <row r="43" spans="1:54" x14ac:dyDescent="0.2">
      <c r="A43" s="30"/>
      <c r="B43" s="23"/>
      <c r="C43" s="23"/>
      <c r="D43" s="24"/>
      <c r="E43" s="24"/>
      <c r="F43" s="24"/>
      <c r="G43" s="24"/>
      <c r="H43" s="10" t="str">
        <f t="shared" si="2"/>
        <v/>
      </c>
      <c r="I43" s="10" t="str">
        <f t="shared" si="3"/>
        <v/>
      </c>
      <c r="J43" s="24"/>
      <c r="K43" s="13" t="str">
        <f t="shared" si="4"/>
        <v/>
      </c>
      <c r="L43" s="13" t="str">
        <f t="shared" si="5"/>
        <v/>
      </c>
      <c r="M43" s="25"/>
      <c r="N43" s="25"/>
      <c r="O43" s="22"/>
      <c r="P43" s="11" t="str">
        <f t="shared" si="6"/>
        <v/>
      </c>
      <c r="Q43" s="26"/>
      <c r="R43" s="22"/>
      <c r="S43" s="29" t="str">
        <f t="shared" si="7"/>
        <v/>
      </c>
      <c r="T43" s="12" t="str">
        <f t="shared" si="8"/>
        <v/>
      </c>
      <c r="U43" s="12" t="str">
        <f t="shared" si="9"/>
        <v/>
      </c>
      <c r="V43" s="12" t="str">
        <f>IF(AND($B43="",$C43=""),"",HLOOKUP(VLOOKUP($B$1,'Cidade-ER'!$A:$B,2,0),$AP$6:$BB43,ROW()-5,0))</f>
        <v/>
      </c>
      <c r="W43" s="12" t="str">
        <f t="shared" si="10"/>
        <v/>
      </c>
      <c r="X43" s="12" t="str">
        <f t="shared" si="11"/>
        <v/>
      </c>
      <c r="Y43" s="14" t="str">
        <f t="shared" si="12"/>
        <v/>
      </c>
      <c r="Z43" s="12" t="str">
        <f t="shared" si="13"/>
        <v/>
      </c>
      <c r="AA43" s="12" t="str">
        <f>IF(AND($B43="",$C43=""),"",(Sarjeta!$C$17^(5/3))*(Sarjeta!$C$16^(-2/3))*(ABS($K43)^0.5)/Sarjeta!$C$14*1000*2)</f>
        <v/>
      </c>
      <c r="AB43" s="12" t="str">
        <f>IF(AND($B43="",$C43=""),"",(Sarjeta!$C$17/Sarjeta!$C$16)^(2/3)*(ABS($K43)^0.5)/Sarjeta!$C$14)</f>
        <v/>
      </c>
      <c r="AC43" s="36" t="str">
        <f>IF(AND($B43="",$C43=""),"",IF(Z43&lt;AA43,0,MAX(ROUND(Z43/AA43,0)*2,ROUNDUP(ROUND(Z43/Sarjeta!$C$19,0)/2,0)*2)))</f>
        <v/>
      </c>
      <c r="AD43" s="26"/>
      <c r="AE43" s="27"/>
      <c r="AF43" s="32" t="str">
        <f>IF(OR($AE43="",AND($B43="",$C43="")),"",IF(ISERROR(VLOOKUP(AL43,Coeficientes!$A:$C,3,1)),0.05,VLOOKUP(AL43,Coeficientes!$A:$C,3,1)))</f>
        <v/>
      </c>
      <c r="AG43" s="12" t="str">
        <f t="shared" si="1"/>
        <v/>
      </c>
      <c r="AH43" s="30"/>
      <c r="AI43" s="31"/>
      <c r="AJ43" s="48" t="str">
        <f t="shared" si="14"/>
        <v/>
      </c>
      <c r="AK43" s="48" t="str">
        <f t="shared" si="15"/>
        <v/>
      </c>
      <c r="AL43" s="48" t="str">
        <f t="shared" si="16"/>
        <v/>
      </c>
      <c r="AM43" s="48" t="str">
        <f>IF(AND($B43="",$C43=""),"",VLOOKUP($AF43,Coeficientes!$C:$D,2,0))</f>
        <v/>
      </c>
      <c r="AN43" s="48" t="str">
        <f t="shared" si="17"/>
        <v/>
      </c>
      <c r="AO43" s="48" t="str">
        <f t="shared" si="18"/>
        <v/>
      </c>
      <c r="AP43" s="48" t="str">
        <f t="shared" si="19"/>
        <v/>
      </c>
      <c r="AQ43" s="48" t="str">
        <f t="shared" si="20"/>
        <v/>
      </c>
      <c r="AR43" s="48" t="str">
        <f t="shared" si="21"/>
        <v/>
      </c>
      <c r="AS43" s="48" t="str">
        <f t="shared" si="22"/>
        <v/>
      </c>
      <c r="AT43" s="48" t="str">
        <f t="shared" si="23"/>
        <v/>
      </c>
      <c r="AU43" s="48" t="str">
        <f t="shared" si="24"/>
        <v/>
      </c>
      <c r="AV43" s="48" t="str">
        <f t="shared" si="25"/>
        <v/>
      </c>
      <c r="AW43" s="48" t="str">
        <f t="shared" si="26"/>
        <v/>
      </c>
      <c r="AX43" s="48" t="str">
        <f t="shared" si="27"/>
        <v/>
      </c>
      <c r="AY43" s="48" t="str">
        <f t="shared" si="28"/>
        <v/>
      </c>
      <c r="AZ43" s="48" t="str">
        <f t="shared" si="29"/>
        <v/>
      </c>
      <c r="BA43" s="48" t="str">
        <f t="shared" si="30"/>
        <v/>
      </c>
      <c r="BB43" s="48" t="str">
        <f t="shared" si="31"/>
        <v/>
      </c>
    </row>
    <row r="44" spans="1:54" x14ac:dyDescent="0.2">
      <c r="A44" s="30"/>
      <c r="B44" s="23"/>
      <c r="C44" s="23"/>
      <c r="D44" s="24"/>
      <c r="E44" s="24"/>
      <c r="F44" s="24"/>
      <c r="G44" s="24"/>
      <c r="H44" s="10" t="str">
        <f t="shared" si="2"/>
        <v/>
      </c>
      <c r="I44" s="10" t="str">
        <f t="shared" si="3"/>
        <v/>
      </c>
      <c r="J44" s="24"/>
      <c r="K44" s="13" t="str">
        <f t="shared" si="4"/>
        <v/>
      </c>
      <c r="L44" s="13" t="str">
        <f t="shared" si="5"/>
        <v/>
      </c>
      <c r="M44" s="25"/>
      <c r="N44" s="25"/>
      <c r="O44" s="22"/>
      <c r="P44" s="11" t="str">
        <f t="shared" si="6"/>
        <v/>
      </c>
      <c r="Q44" s="26"/>
      <c r="R44" s="22"/>
      <c r="S44" s="29" t="str">
        <f t="shared" si="7"/>
        <v/>
      </c>
      <c r="T44" s="12" t="str">
        <f t="shared" si="8"/>
        <v/>
      </c>
      <c r="U44" s="12" t="str">
        <f t="shared" si="9"/>
        <v/>
      </c>
      <c r="V44" s="12" t="str">
        <f>IF(AND($B44="",$C44=""),"",HLOOKUP(VLOOKUP($B$1,'Cidade-ER'!$A:$B,2,0),$AP$6:$BB44,ROW()-5,0))</f>
        <v/>
      </c>
      <c r="W44" s="12" t="str">
        <f t="shared" si="10"/>
        <v/>
      </c>
      <c r="X44" s="12" t="str">
        <f t="shared" si="11"/>
        <v/>
      </c>
      <c r="Y44" s="14" t="str">
        <f t="shared" si="12"/>
        <v/>
      </c>
      <c r="Z44" s="12" t="str">
        <f t="shared" si="13"/>
        <v/>
      </c>
      <c r="AA44" s="12" t="str">
        <f>IF(AND($B44="",$C44=""),"",(Sarjeta!$C$17^(5/3))*(Sarjeta!$C$16^(-2/3))*(ABS($K44)^0.5)/Sarjeta!$C$14*1000*2)</f>
        <v/>
      </c>
      <c r="AB44" s="12" t="str">
        <f>IF(AND($B44="",$C44=""),"",(Sarjeta!$C$17/Sarjeta!$C$16)^(2/3)*(ABS($K44)^0.5)/Sarjeta!$C$14)</f>
        <v/>
      </c>
      <c r="AC44" s="36" t="str">
        <f>IF(AND($B44="",$C44=""),"",IF(Z44&lt;AA44,0,MAX(ROUND(Z44/AA44,0)*2,ROUNDUP(ROUND(Z44/Sarjeta!$C$19,0)/2,0)*2)))</f>
        <v/>
      </c>
      <c r="AD44" s="26"/>
      <c r="AE44" s="27"/>
      <c r="AF44" s="32" t="str">
        <f>IF(OR($AE44="",AND($B44="",$C44="")),"",IF(ISERROR(VLOOKUP(AL44,Coeficientes!$A:$C,3,1)),0.05,VLOOKUP(AL44,Coeficientes!$A:$C,3,1)))</f>
        <v/>
      </c>
      <c r="AG44" s="12" t="str">
        <f t="shared" si="1"/>
        <v/>
      </c>
      <c r="AH44" s="30"/>
      <c r="AI44" s="31"/>
      <c r="AJ44" s="48" t="str">
        <f t="shared" si="14"/>
        <v/>
      </c>
      <c r="AK44" s="48" t="str">
        <f t="shared" si="15"/>
        <v/>
      </c>
      <c r="AL44" s="48" t="str">
        <f t="shared" si="16"/>
        <v/>
      </c>
      <c r="AM44" s="48" t="str">
        <f>IF(AND($B44="",$C44=""),"",VLOOKUP($AF44,Coeficientes!$C:$D,2,0))</f>
        <v/>
      </c>
      <c r="AN44" s="48" t="str">
        <f t="shared" si="17"/>
        <v/>
      </c>
      <c r="AO44" s="48" t="str">
        <f t="shared" si="18"/>
        <v/>
      </c>
      <c r="AP44" s="48" t="str">
        <f t="shared" si="19"/>
        <v/>
      </c>
      <c r="AQ44" s="48" t="str">
        <f t="shared" si="20"/>
        <v/>
      </c>
      <c r="AR44" s="48" t="str">
        <f t="shared" si="21"/>
        <v/>
      </c>
      <c r="AS44" s="48" t="str">
        <f t="shared" si="22"/>
        <v/>
      </c>
      <c r="AT44" s="48" t="str">
        <f t="shared" si="23"/>
        <v/>
      </c>
      <c r="AU44" s="48" t="str">
        <f t="shared" si="24"/>
        <v/>
      </c>
      <c r="AV44" s="48" t="str">
        <f t="shared" si="25"/>
        <v/>
      </c>
      <c r="AW44" s="48" t="str">
        <f t="shared" si="26"/>
        <v/>
      </c>
      <c r="AX44" s="48" t="str">
        <f t="shared" si="27"/>
        <v/>
      </c>
      <c r="AY44" s="48" t="str">
        <f t="shared" si="28"/>
        <v/>
      </c>
      <c r="AZ44" s="48" t="str">
        <f t="shared" si="29"/>
        <v/>
      </c>
      <c r="BA44" s="48" t="str">
        <f t="shared" si="30"/>
        <v/>
      </c>
      <c r="BB44" s="48" t="str">
        <f t="shared" si="31"/>
        <v/>
      </c>
    </row>
    <row r="45" spans="1:54" x14ac:dyDescent="0.2">
      <c r="A45" s="30"/>
      <c r="B45" s="23"/>
      <c r="C45" s="23"/>
      <c r="D45" s="24"/>
      <c r="E45" s="24"/>
      <c r="F45" s="24"/>
      <c r="G45" s="24"/>
      <c r="H45" s="10" t="str">
        <f t="shared" si="2"/>
        <v/>
      </c>
      <c r="I45" s="10" t="str">
        <f t="shared" si="3"/>
        <v/>
      </c>
      <c r="J45" s="24"/>
      <c r="K45" s="13" t="str">
        <f t="shared" si="4"/>
        <v/>
      </c>
      <c r="L45" s="13" t="str">
        <f t="shared" si="5"/>
        <v/>
      </c>
      <c r="M45" s="25"/>
      <c r="N45" s="25"/>
      <c r="O45" s="22"/>
      <c r="P45" s="11" t="str">
        <f t="shared" si="6"/>
        <v/>
      </c>
      <c r="Q45" s="26"/>
      <c r="R45" s="22"/>
      <c r="S45" s="29" t="str">
        <f t="shared" si="7"/>
        <v/>
      </c>
      <c r="T45" s="12" t="str">
        <f t="shared" si="8"/>
        <v/>
      </c>
      <c r="U45" s="12" t="str">
        <f t="shared" si="9"/>
        <v/>
      </c>
      <c r="V45" s="12" t="str">
        <f>IF(AND($B45="",$C45=""),"",HLOOKUP(VLOOKUP($B$1,'Cidade-ER'!$A:$B,2,0),$AP$6:$BB45,ROW()-5,0))</f>
        <v/>
      </c>
      <c r="W45" s="12" t="str">
        <f t="shared" si="10"/>
        <v/>
      </c>
      <c r="X45" s="12" t="str">
        <f t="shared" si="11"/>
        <v/>
      </c>
      <c r="Y45" s="14" t="str">
        <f t="shared" si="12"/>
        <v/>
      </c>
      <c r="Z45" s="12" t="str">
        <f t="shared" si="13"/>
        <v/>
      </c>
      <c r="AA45" s="12" t="str">
        <f>IF(AND($B45="",$C45=""),"",(Sarjeta!$C$17^(5/3))*(Sarjeta!$C$16^(-2/3))*(ABS($K45)^0.5)/Sarjeta!$C$14*1000*2)</f>
        <v/>
      </c>
      <c r="AB45" s="12" t="str">
        <f>IF(AND($B45="",$C45=""),"",(Sarjeta!$C$17/Sarjeta!$C$16)^(2/3)*(ABS($K45)^0.5)/Sarjeta!$C$14)</f>
        <v/>
      </c>
      <c r="AC45" s="36" t="str">
        <f>IF(AND($B45="",$C45=""),"",IF(Z45&lt;AA45,0,MAX(ROUND(Z45/AA45,0)*2,ROUNDUP(ROUND(Z45/Sarjeta!$C$19,0)/2,0)*2)))</f>
        <v/>
      </c>
      <c r="AD45" s="26"/>
      <c r="AE45" s="27"/>
      <c r="AF45" s="32" t="str">
        <f>IF(OR($AE45="",AND($B45="",$C45="")),"",IF(ISERROR(VLOOKUP(AL45,Coeficientes!$A:$C,3,1)),0.05,VLOOKUP(AL45,Coeficientes!$A:$C,3,1)))</f>
        <v/>
      </c>
      <c r="AG45" s="12" t="str">
        <f t="shared" si="1"/>
        <v/>
      </c>
      <c r="AH45" s="30"/>
      <c r="AI45" s="31"/>
      <c r="AJ45" s="48" t="str">
        <f t="shared" si="14"/>
        <v/>
      </c>
      <c r="AK45" s="48" t="str">
        <f t="shared" si="15"/>
        <v/>
      </c>
      <c r="AL45" s="48" t="str">
        <f t="shared" si="16"/>
        <v/>
      </c>
      <c r="AM45" s="48" t="str">
        <f>IF(AND($B45="",$C45=""),"",VLOOKUP($AF45,Coeficientes!$C:$D,2,0))</f>
        <v/>
      </c>
      <c r="AN45" s="48" t="str">
        <f t="shared" si="17"/>
        <v/>
      </c>
      <c r="AO45" s="48" t="str">
        <f t="shared" si="18"/>
        <v/>
      </c>
      <c r="AP45" s="48" t="str">
        <f t="shared" si="19"/>
        <v/>
      </c>
      <c r="AQ45" s="48" t="str">
        <f t="shared" si="20"/>
        <v/>
      </c>
      <c r="AR45" s="48" t="str">
        <f t="shared" si="21"/>
        <v/>
      </c>
      <c r="AS45" s="48" t="str">
        <f t="shared" si="22"/>
        <v/>
      </c>
      <c r="AT45" s="48" t="str">
        <f t="shared" si="23"/>
        <v/>
      </c>
      <c r="AU45" s="48" t="str">
        <f t="shared" si="24"/>
        <v/>
      </c>
      <c r="AV45" s="48" t="str">
        <f t="shared" si="25"/>
        <v/>
      </c>
      <c r="AW45" s="48" t="str">
        <f t="shared" si="26"/>
        <v/>
      </c>
      <c r="AX45" s="48" t="str">
        <f t="shared" si="27"/>
        <v/>
      </c>
      <c r="AY45" s="48" t="str">
        <f t="shared" si="28"/>
        <v/>
      </c>
      <c r="AZ45" s="48" t="str">
        <f t="shared" si="29"/>
        <v/>
      </c>
      <c r="BA45" s="48" t="str">
        <f t="shared" si="30"/>
        <v/>
      </c>
      <c r="BB45" s="48" t="str">
        <f t="shared" si="31"/>
        <v/>
      </c>
    </row>
    <row r="46" spans="1:54" x14ac:dyDescent="0.2">
      <c r="A46" s="30"/>
      <c r="B46" s="23"/>
      <c r="C46" s="23"/>
      <c r="D46" s="24"/>
      <c r="E46" s="24"/>
      <c r="F46" s="24"/>
      <c r="G46" s="24"/>
      <c r="H46" s="10" t="str">
        <f t="shared" si="2"/>
        <v/>
      </c>
      <c r="I46" s="10" t="str">
        <f t="shared" si="3"/>
        <v/>
      </c>
      <c r="J46" s="24"/>
      <c r="K46" s="13" t="str">
        <f t="shared" si="4"/>
        <v/>
      </c>
      <c r="L46" s="13" t="str">
        <f t="shared" si="5"/>
        <v/>
      </c>
      <c r="M46" s="25"/>
      <c r="N46" s="25"/>
      <c r="O46" s="22"/>
      <c r="P46" s="11" t="str">
        <f t="shared" si="6"/>
        <v/>
      </c>
      <c r="Q46" s="26"/>
      <c r="R46" s="22"/>
      <c r="S46" s="29" t="str">
        <f t="shared" si="7"/>
        <v/>
      </c>
      <c r="T46" s="12" t="str">
        <f t="shared" si="8"/>
        <v/>
      </c>
      <c r="U46" s="12" t="str">
        <f t="shared" si="9"/>
        <v/>
      </c>
      <c r="V46" s="12" t="str">
        <f>IF(AND($B46="",$C46=""),"",HLOOKUP(VLOOKUP($B$1,'Cidade-ER'!$A:$B,2,0),$AP$6:$BB46,ROW()-5,0))</f>
        <v/>
      </c>
      <c r="W46" s="12" t="str">
        <f t="shared" si="10"/>
        <v/>
      </c>
      <c r="X46" s="12" t="str">
        <f t="shared" si="11"/>
        <v/>
      </c>
      <c r="Y46" s="14" t="str">
        <f t="shared" si="12"/>
        <v/>
      </c>
      <c r="Z46" s="12" t="str">
        <f t="shared" si="13"/>
        <v/>
      </c>
      <c r="AA46" s="12" t="str">
        <f>IF(AND($B46="",$C46=""),"",(Sarjeta!$C$17^(5/3))*(Sarjeta!$C$16^(-2/3))*(ABS($K46)^0.5)/Sarjeta!$C$14*1000*2)</f>
        <v/>
      </c>
      <c r="AB46" s="12" t="str">
        <f>IF(AND($B46="",$C46=""),"",(Sarjeta!$C$17/Sarjeta!$C$16)^(2/3)*(ABS($K46)^0.5)/Sarjeta!$C$14)</f>
        <v/>
      </c>
      <c r="AC46" s="36" t="str">
        <f>IF(AND($B46="",$C46=""),"",IF(Z46&lt;AA46,0,MAX(ROUND(Z46/AA46,0)*2,ROUNDUP(ROUND(Z46/Sarjeta!$C$19,0)/2,0)*2)))</f>
        <v/>
      </c>
      <c r="AD46" s="26"/>
      <c r="AE46" s="27"/>
      <c r="AF46" s="32" t="str">
        <f>IF(OR($AE46="",AND($B46="",$C46="")),"",IF(ISERROR(VLOOKUP(AL46,Coeficientes!$A:$C,3,1)),0.05,VLOOKUP(AL46,Coeficientes!$A:$C,3,1)))</f>
        <v/>
      </c>
      <c r="AG46" s="12" t="str">
        <f t="shared" si="1"/>
        <v/>
      </c>
      <c r="AH46" s="30"/>
      <c r="AI46" s="31"/>
      <c r="AJ46" s="48" t="str">
        <f t="shared" si="14"/>
        <v/>
      </c>
      <c r="AK46" s="48" t="str">
        <f t="shared" si="15"/>
        <v/>
      </c>
      <c r="AL46" s="48" t="str">
        <f t="shared" si="16"/>
        <v/>
      </c>
      <c r="AM46" s="48" t="str">
        <f>IF(AND($B46="",$C46=""),"",VLOOKUP($AF46,Coeficientes!$C:$D,2,0))</f>
        <v/>
      </c>
      <c r="AN46" s="48" t="str">
        <f t="shared" si="17"/>
        <v/>
      </c>
      <c r="AO46" s="48" t="str">
        <f t="shared" si="18"/>
        <v/>
      </c>
      <c r="AP46" s="48" t="str">
        <f t="shared" si="19"/>
        <v/>
      </c>
      <c r="AQ46" s="48" t="str">
        <f t="shared" si="20"/>
        <v/>
      </c>
      <c r="AR46" s="48" t="str">
        <f t="shared" si="21"/>
        <v/>
      </c>
      <c r="AS46" s="48" t="str">
        <f t="shared" si="22"/>
        <v/>
      </c>
      <c r="AT46" s="48" t="str">
        <f t="shared" si="23"/>
        <v/>
      </c>
      <c r="AU46" s="48" t="str">
        <f t="shared" si="24"/>
        <v/>
      </c>
      <c r="AV46" s="48" t="str">
        <f t="shared" si="25"/>
        <v/>
      </c>
      <c r="AW46" s="48" t="str">
        <f t="shared" si="26"/>
        <v/>
      </c>
      <c r="AX46" s="48" t="str">
        <f t="shared" si="27"/>
        <v/>
      </c>
      <c r="AY46" s="48" t="str">
        <f t="shared" si="28"/>
        <v/>
      </c>
      <c r="AZ46" s="48" t="str">
        <f t="shared" si="29"/>
        <v/>
      </c>
      <c r="BA46" s="48" t="str">
        <f t="shared" si="30"/>
        <v/>
      </c>
      <c r="BB46" s="48" t="str">
        <f t="shared" si="31"/>
        <v/>
      </c>
    </row>
    <row r="47" spans="1:54" x14ac:dyDescent="0.2">
      <c r="A47" s="30"/>
      <c r="B47" s="23"/>
      <c r="C47" s="23"/>
      <c r="D47" s="24"/>
      <c r="E47" s="24"/>
      <c r="F47" s="24"/>
      <c r="G47" s="24"/>
      <c r="H47" s="10" t="str">
        <f t="shared" si="2"/>
        <v/>
      </c>
      <c r="I47" s="10" t="str">
        <f t="shared" si="3"/>
        <v/>
      </c>
      <c r="J47" s="24"/>
      <c r="K47" s="13" t="str">
        <f t="shared" si="4"/>
        <v/>
      </c>
      <c r="L47" s="13" t="str">
        <f t="shared" si="5"/>
        <v/>
      </c>
      <c r="M47" s="25"/>
      <c r="N47" s="25"/>
      <c r="O47" s="22"/>
      <c r="P47" s="11" t="str">
        <f t="shared" si="6"/>
        <v/>
      </c>
      <c r="Q47" s="26"/>
      <c r="R47" s="22"/>
      <c r="S47" s="29" t="str">
        <f t="shared" si="7"/>
        <v/>
      </c>
      <c r="T47" s="12" t="str">
        <f t="shared" si="8"/>
        <v/>
      </c>
      <c r="U47" s="12" t="str">
        <f t="shared" si="9"/>
        <v/>
      </c>
      <c r="V47" s="12" t="str">
        <f>IF(AND($B47="",$C47=""),"",HLOOKUP(VLOOKUP($B$1,'Cidade-ER'!$A:$B,2,0),$AP$6:$BB47,ROW()-5,0))</f>
        <v/>
      </c>
      <c r="W47" s="12" t="str">
        <f t="shared" si="10"/>
        <v/>
      </c>
      <c r="X47" s="12" t="str">
        <f t="shared" si="11"/>
        <v/>
      </c>
      <c r="Y47" s="14" t="str">
        <f t="shared" si="12"/>
        <v/>
      </c>
      <c r="Z47" s="12" t="str">
        <f t="shared" si="13"/>
        <v/>
      </c>
      <c r="AA47" s="12" t="str">
        <f>IF(AND($B47="",$C47=""),"",(Sarjeta!$C$17^(5/3))*(Sarjeta!$C$16^(-2/3))*(ABS($K47)^0.5)/Sarjeta!$C$14*1000*2)</f>
        <v/>
      </c>
      <c r="AB47" s="12" t="str">
        <f>IF(AND($B47="",$C47=""),"",(Sarjeta!$C$17/Sarjeta!$C$16)^(2/3)*(ABS($K47)^0.5)/Sarjeta!$C$14)</f>
        <v/>
      </c>
      <c r="AC47" s="36" t="str">
        <f>IF(AND($B47="",$C47=""),"",IF(Z47&lt;AA47,0,MAX(ROUND(Z47/AA47,0)*2,ROUNDUP(ROUND(Z47/Sarjeta!$C$19,0)/2,0)*2)))</f>
        <v/>
      </c>
      <c r="AD47" s="26"/>
      <c r="AE47" s="27"/>
      <c r="AF47" s="32" t="str">
        <f>IF(OR($AE47="",AND($B47="",$C47="")),"",IF(ISERROR(VLOOKUP(AL47,Coeficientes!$A:$C,3,1)),0.05,VLOOKUP(AL47,Coeficientes!$A:$C,3,1)))</f>
        <v/>
      </c>
      <c r="AG47" s="12" t="str">
        <f t="shared" si="1"/>
        <v/>
      </c>
      <c r="AH47" s="30"/>
      <c r="AI47" s="31"/>
      <c r="AJ47" s="48" t="str">
        <f t="shared" si="14"/>
        <v/>
      </c>
      <c r="AK47" s="48" t="str">
        <f t="shared" si="15"/>
        <v/>
      </c>
      <c r="AL47" s="48" t="str">
        <f t="shared" si="16"/>
        <v/>
      </c>
      <c r="AM47" s="48" t="str">
        <f>IF(AND($B47="",$C47=""),"",VLOOKUP($AF47,Coeficientes!$C:$D,2,0))</f>
        <v/>
      </c>
      <c r="AN47" s="48" t="str">
        <f t="shared" si="17"/>
        <v/>
      </c>
      <c r="AO47" s="48" t="str">
        <f t="shared" si="18"/>
        <v/>
      </c>
      <c r="AP47" s="48" t="str">
        <f t="shared" si="19"/>
        <v/>
      </c>
      <c r="AQ47" s="48" t="str">
        <f t="shared" si="20"/>
        <v/>
      </c>
      <c r="AR47" s="48" t="str">
        <f t="shared" si="21"/>
        <v/>
      </c>
      <c r="AS47" s="48" t="str">
        <f t="shared" si="22"/>
        <v/>
      </c>
      <c r="AT47" s="48" t="str">
        <f t="shared" si="23"/>
        <v/>
      </c>
      <c r="AU47" s="48" t="str">
        <f t="shared" si="24"/>
        <v/>
      </c>
      <c r="AV47" s="48" t="str">
        <f t="shared" si="25"/>
        <v/>
      </c>
      <c r="AW47" s="48" t="str">
        <f t="shared" si="26"/>
        <v/>
      </c>
      <c r="AX47" s="48" t="str">
        <f t="shared" si="27"/>
        <v/>
      </c>
      <c r="AY47" s="48" t="str">
        <f t="shared" si="28"/>
        <v/>
      </c>
      <c r="AZ47" s="48" t="str">
        <f t="shared" si="29"/>
        <v/>
      </c>
      <c r="BA47" s="48" t="str">
        <f t="shared" si="30"/>
        <v/>
      </c>
      <c r="BB47" s="48" t="str">
        <f t="shared" si="31"/>
        <v/>
      </c>
    </row>
    <row r="48" spans="1:54" x14ac:dyDescent="0.2">
      <c r="A48" s="30"/>
      <c r="B48" s="23"/>
      <c r="C48" s="23"/>
      <c r="D48" s="24"/>
      <c r="E48" s="24"/>
      <c r="F48" s="24"/>
      <c r="G48" s="24"/>
      <c r="H48" s="10" t="str">
        <f t="shared" si="2"/>
        <v/>
      </c>
      <c r="I48" s="10" t="str">
        <f t="shared" si="3"/>
        <v/>
      </c>
      <c r="J48" s="24"/>
      <c r="K48" s="13" t="str">
        <f t="shared" si="4"/>
        <v/>
      </c>
      <c r="L48" s="13" t="str">
        <f t="shared" si="5"/>
        <v/>
      </c>
      <c r="M48" s="25"/>
      <c r="N48" s="25"/>
      <c r="O48" s="22"/>
      <c r="P48" s="11" t="str">
        <f t="shared" si="6"/>
        <v/>
      </c>
      <c r="Q48" s="26"/>
      <c r="R48" s="22"/>
      <c r="S48" s="29" t="str">
        <f t="shared" si="7"/>
        <v/>
      </c>
      <c r="T48" s="12" t="str">
        <f t="shared" si="8"/>
        <v/>
      </c>
      <c r="U48" s="12" t="str">
        <f t="shared" si="9"/>
        <v/>
      </c>
      <c r="V48" s="12" t="str">
        <f>IF(AND($B48="",$C48=""),"",HLOOKUP(VLOOKUP($B$1,'Cidade-ER'!$A:$B,2,0),$AP$6:$BB48,ROW()-5,0))</f>
        <v/>
      </c>
      <c r="W48" s="12" t="str">
        <f t="shared" si="10"/>
        <v/>
      </c>
      <c r="X48" s="12" t="str">
        <f t="shared" si="11"/>
        <v/>
      </c>
      <c r="Y48" s="14" t="str">
        <f t="shared" si="12"/>
        <v/>
      </c>
      <c r="Z48" s="12" t="str">
        <f t="shared" si="13"/>
        <v/>
      </c>
      <c r="AA48" s="12" t="str">
        <f>IF(AND($B48="",$C48=""),"",(Sarjeta!$C$17^(5/3))*(Sarjeta!$C$16^(-2/3))*(ABS($K48)^0.5)/Sarjeta!$C$14*1000*2)</f>
        <v/>
      </c>
      <c r="AB48" s="12" t="str">
        <f>IF(AND($B48="",$C48=""),"",(Sarjeta!$C$17/Sarjeta!$C$16)^(2/3)*(ABS($K48)^0.5)/Sarjeta!$C$14)</f>
        <v/>
      </c>
      <c r="AC48" s="36" t="str">
        <f>IF(AND($B48="",$C48=""),"",IF(Z48&lt;AA48,0,MAX(ROUND(Z48/AA48,0)*2,ROUNDUP(ROUND(Z48/Sarjeta!$C$19,0)/2,0)*2)))</f>
        <v/>
      </c>
      <c r="AD48" s="26"/>
      <c r="AE48" s="27"/>
      <c r="AF48" s="32" t="str">
        <f>IF(OR($AE48="",AND($B48="",$C48="")),"",IF(ISERROR(VLOOKUP(AL48,Coeficientes!$A:$C,3,1)),0.05,VLOOKUP(AL48,Coeficientes!$A:$C,3,1)))</f>
        <v/>
      </c>
      <c r="AG48" s="12" t="str">
        <f t="shared" si="1"/>
        <v/>
      </c>
      <c r="AH48" s="30"/>
      <c r="AI48" s="31"/>
      <c r="AJ48" s="48" t="str">
        <f t="shared" si="14"/>
        <v/>
      </c>
      <c r="AK48" s="48" t="str">
        <f t="shared" si="15"/>
        <v/>
      </c>
      <c r="AL48" s="48" t="str">
        <f t="shared" si="16"/>
        <v/>
      </c>
      <c r="AM48" s="48" t="str">
        <f>IF(AND($B48="",$C48=""),"",VLOOKUP($AF48,Coeficientes!$C:$D,2,0))</f>
        <v/>
      </c>
      <c r="AN48" s="48" t="str">
        <f t="shared" si="17"/>
        <v/>
      </c>
      <c r="AO48" s="48" t="str">
        <f t="shared" si="18"/>
        <v/>
      </c>
      <c r="AP48" s="48" t="str">
        <f t="shared" si="19"/>
        <v/>
      </c>
      <c r="AQ48" s="48" t="str">
        <f t="shared" si="20"/>
        <v/>
      </c>
      <c r="AR48" s="48" t="str">
        <f t="shared" si="21"/>
        <v/>
      </c>
      <c r="AS48" s="48" t="str">
        <f t="shared" si="22"/>
        <v/>
      </c>
      <c r="AT48" s="48" t="str">
        <f t="shared" si="23"/>
        <v/>
      </c>
      <c r="AU48" s="48" t="str">
        <f t="shared" si="24"/>
        <v/>
      </c>
      <c r="AV48" s="48" t="str">
        <f t="shared" si="25"/>
        <v/>
      </c>
      <c r="AW48" s="48" t="str">
        <f t="shared" si="26"/>
        <v/>
      </c>
      <c r="AX48" s="48" t="str">
        <f t="shared" si="27"/>
        <v/>
      </c>
      <c r="AY48" s="48" t="str">
        <f t="shared" si="28"/>
        <v/>
      </c>
      <c r="AZ48" s="48" t="str">
        <f t="shared" si="29"/>
        <v/>
      </c>
      <c r="BA48" s="48" t="str">
        <f t="shared" si="30"/>
        <v/>
      </c>
      <c r="BB48" s="48" t="str">
        <f t="shared" si="31"/>
        <v/>
      </c>
    </row>
    <row r="49" spans="1:54" x14ac:dyDescent="0.2">
      <c r="A49" s="30"/>
      <c r="B49" s="23"/>
      <c r="C49" s="23"/>
      <c r="D49" s="24"/>
      <c r="E49" s="24"/>
      <c r="F49" s="24"/>
      <c r="G49" s="24"/>
      <c r="H49" s="10" t="str">
        <f t="shared" si="2"/>
        <v/>
      </c>
      <c r="I49" s="10" t="str">
        <f t="shared" si="3"/>
        <v/>
      </c>
      <c r="J49" s="24"/>
      <c r="K49" s="13" t="str">
        <f t="shared" si="4"/>
        <v/>
      </c>
      <c r="L49" s="13" t="str">
        <f t="shared" si="5"/>
        <v/>
      </c>
      <c r="M49" s="25"/>
      <c r="N49" s="25"/>
      <c r="O49" s="22"/>
      <c r="P49" s="11" t="str">
        <f t="shared" si="6"/>
        <v/>
      </c>
      <c r="Q49" s="26"/>
      <c r="R49" s="22"/>
      <c r="S49" s="29" t="str">
        <f t="shared" si="7"/>
        <v/>
      </c>
      <c r="T49" s="12" t="str">
        <f t="shared" si="8"/>
        <v/>
      </c>
      <c r="U49" s="12" t="str">
        <f t="shared" si="9"/>
        <v/>
      </c>
      <c r="V49" s="12" t="str">
        <f>IF(AND($B49="",$C49=""),"",HLOOKUP(VLOOKUP($B$1,'Cidade-ER'!$A:$B,2,0),$AP$6:$BB49,ROW()-5,0))</f>
        <v/>
      </c>
      <c r="W49" s="12" t="str">
        <f t="shared" si="10"/>
        <v/>
      </c>
      <c r="X49" s="12" t="str">
        <f t="shared" si="11"/>
        <v/>
      </c>
      <c r="Y49" s="14" t="str">
        <f t="shared" si="12"/>
        <v/>
      </c>
      <c r="Z49" s="12" t="str">
        <f t="shared" si="13"/>
        <v/>
      </c>
      <c r="AA49" s="12" t="str">
        <f>IF(AND($B49="",$C49=""),"",(Sarjeta!$C$17^(5/3))*(Sarjeta!$C$16^(-2/3))*(ABS($K49)^0.5)/Sarjeta!$C$14*1000*2)</f>
        <v/>
      </c>
      <c r="AB49" s="12" t="str">
        <f>IF(AND($B49="",$C49=""),"",(Sarjeta!$C$17/Sarjeta!$C$16)^(2/3)*(ABS($K49)^0.5)/Sarjeta!$C$14)</f>
        <v/>
      </c>
      <c r="AC49" s="36" t="str">
        <f>IF(AND($B49="",$C49=""),"",IF(Z49&lt;AA49,0,MAX(ROUND(Z49/AA49,0)*2,ROUNDUP(ROUND(Z49/Sarjeta!$C$19,0)/2,0)*2)))</f>
        <v/>
      </c>
      <c r="AD49" s="26"/>
      <c r="AE49" s="27"/>
      <c r="AF49" s="32" t="str">
        <f>IF(OR($AE49="",AND($B49="",$C49="")),"",IF(ISERROR(VLOOKUP(AL49,Coeficientes!$A:$C,3,1)),0.05,VLOOKUP(AL49,Coeficientes!$A:$C,3,1)))</f>
        <v/>
      </c>
      <c r="AG49" s="12" t="str">
        <f t="shared" si="1"/>
        <v/>
      </c>
      <c r="AH49" s="30"/>
      <c r="AI49" s="31"/>
      <c r="AJ49" s="48" t="str">
        <f t="shared" si="14"/>
        <v/>
      </c>
      <c r="AK49" s="48" t="str">
        <f t="shared" si="15"/>
        <v/>
      </c>
      <c r="AL49" s="48" t="str">
        <f t="shared" si="16"/>
        <v/>
      </c>
      <c r="AM49" s="48" t="str">
        <f>IF(AND($B49="",$C49=""),"",VLOOKUP($AF49,Coeficientes!$C:$D,2,0))</f>
        <v/>
      </c>
      <c r="AN49" s="48" t="str">
        <f t="shared" si="17"/>
        <v/>
      </c>
      <c r="AO49" s="48" t="str">
        <f t="shared" si="18"/>
        <v/>
      </c>
      <c r="AP49" s="48" t="str">
        <f t="shared" si="19"/>
        <v/>
      </c>
      <c r="AQ49" s="48" t="str">
        <f t="shared" si="20"/>
        <v/>
      </c>
      <c r="AR49" s="48" t="str">
        <f t="shared" si="21"/>
        <v/>
      </c>
      <c r="AS49" s="48" t="str">
        <f t="shared" si="22"/>
        <v/>
      </c>
      <c r="AT49" s="48" t="str">
        <f t="shared" si="23"/>
        <v/>
      </c>
      <c r="AU49" s="48" t="str">
        <f t="shared" si="24"/>
        <v/>
      </c>
      <c r="AV49" s="48" t="str">
        <f t="shared" si="25"/>
        <v/>
      </c>
      <c r="AW49" s="48" t="str">
        <f t="shared" si="26"/>
        <v/>
      </c>
      <c r="AX49" s="48" t="str">
        <f t="shared" si="27"/>
        <v/>
      </c>
      <c r="AY49" s="48" t="str">
        <f t="shared" si="28"/>
        <v/>
      </c>
      <c r="AZ49" s="48" t="str">
        <f t="shared" si="29"/>
        <v/>
      </c>
      <c r="BA49" s="48" t="str">
        <f t="shared" si="30"/>
        <v/>
      </c>
      <c r="BB49" s="48" t="str">
        <f t="shared" si="31"/>
        <v/>
      </c>
    </row>
    <row r="50" spans="1:54" x14ac:dyDescent="0.2">
      <c r="A50" s="30"/>
      <c r="B50" s="23"/>
      <c r="C50" s="23"/>
      <c r="D50" s="24"/>
      <c r="E50" s="24"/>
      <c r="F50" s="24"/>
      <c r="G50" s="24"/>
      <c r="H50" s="10" t="str">
        <f t="shared" si="2"/>
        <v/>
      </c>
      <c r="I50" s="10" t="str">
        <f t="shared" si="3"/>
        <v/>
      </c>
      <c r="J50" s="24"/>
      <c r="K50" s="13" t="str">
        <f t="shared" si="4"/>
        <v/>
      </c>
      <c r="L50" s="13" t="str">
        <f t="shared" si="5"/>
        <v/>
      </c>
      <c r="M50" s="25"/>
      <c r="N50" s="25"/>
      <c r="O50" s="22"/>
      <c r="P50" s="11" t="str">
        <f t="shared" si="6"/>
        <v/>
      </c>
      <c r="Q50" s="26"/>
      <c r="R50" s="22"/>
      <c r="S50" s="29" t="str">
        <f t="shared" si="7"/>
        <v/>
      </c>
      <c r="T50" s="12" t="str">
        <f t="shared" si="8"/>
        <v/>
      </c>
      <c r="U50" s="12" t="str">
        <f t="shared" si="9"/>
        <v/>
      </c>
      <c r="V50" s="12" t="str">
        <f>IF(AND($B50="",$C50=""),"",HLOOKUP(VLOOKUP($B$1,'Cidade-ER'!$A:$B,2,0),$AP$6:$BB50,ROW()-5,0))</f>
        <v/>
      </c>
      <c r="W50" s="12" t="str">
        <f t="shared" si="10"/>
        <v/>
      </c>
      <c r="X50" s="12" t="str">
        <f t="shared" si="11"/>
        <v/>
      </c>
      <c r="Y50" s="14" t="str">
        <f t="shared" si="12"/>
        <v/>
      </c>
      <c r="Z50" s="12" t="str">
        <f t="shared" si="13"/>
        <v/>
      </c>
      <c r="AA50" s="12" t="str">
        <f>IF(AND($B50="",$C50=""),"",(Sarjeta!$C$17^(5/3))*(Sarjeta!$C$16^(-2/3))*(ABS($K50)^0.5)/Sarjeta!$C$14*1000*2)</f>
        <v/>
      </c>
      <c r="AB50" s="12" t="str">
        <f>IF(AND($B50="",$C50=""),"",(Sarjeta!$C$17/Sarjeta!$C$16)^(2/3)*(ABS($K50)^0.5)/Sarjeta!$C$14)</f>
        <v/>
      </c>
      <c r="AC50" s="36" t="str">
        <f>IF(AND($B50="",$C50=""),"",IF(Z50&lt;AA50,0,MAX(ROUND(Z50/AA50,0)*2,ROUNDUP(ROUND(Z50/Sarjeta!$C$19,0)/2,0)*2)))</f>
        <v/>
      </c>
      <c r="AD50" s="26"/>
      <c r="AE50" s="27"/>
      <c r="AF50" s="32" t="str">
        <f>IF(OR($AE50="",AND($B50="",$C50="")),"",IF(ISERROR(VLOOKUP(AL50,Coeficientes!$A:$C,3,1)),0.05,VLOOKUP(AL50,Coeficientes!$A:$C,3,1)))</f>
        <v/>
      </c>
      <c r="AG50" s="12" t="str">
        <f t="shared" si="1"/>
        <v/>
      </c>
      <c r="AH50" s="30"/>
      <c r="AI50" s="31"/>
      <c r="AJ50" s="48" t="str">
        <f t="shared" si="14"/>
        <v/>
      </c>
      <c r="AK50" s="48" t="str">
        <f t="shared" si="15"/>
        <v/>
      </c>
      <c r="AL50" s="48" t="str">
        <f t="shared" si="16"/>
        <v/>
      </c>
      <c r="AM50" s="48" t="str">
        <f>IF(AND($B50="",$C50=""),"",VLOOKUP($AF50,Coeficientes!$C:$D,2,0))</f>
        <v/>
      </c>
      <c r="AN50" s="48" t="str">
        <f t="shared" si="17"/>
        <v/>
      </c>
      <c r="AO50" s="48" t="str">
        <f t="shared" si="18"/>
        <v/>
      </c>
      <c r="AP50" s="48" t="str">
        <f t="shared" si="19"/>
        <v/>
      </c>
      <c r="AQ50" s="48" t="str">
        <f t="shared" si="20"/>
        <v/>
      </c>
      <c r="AR50" s="48" t="str">
        <f t="shared" si="21"/>
        <v/>
      </c>
      <c r="AS50" s="48" t="str">
        <f t="shared" si="22"/>
        <v/>
      </c>
      <c r="AT50" s="48" t="str">
        <f t="shared" si="23"/>
        <v/>
      </c>
      <c r="AU50" s="48" t="str">
        <f t="shared" si="24"/>
        <v/>
      </c>
      <c r="AV50" s="48" t="str">
        <f t="shared" si="25"/>
        <v/>
      </c>
      <c r="AW50" s="48" t="str">
        <f t="shared" si="26"/>
        <v/>
      </c>
      <c r="AX50" s="48" t="str">
        <f t="shared" si="27"/>
        <v/>
      </c>
      <c r="AY50" s="48" t="str">
        <f t="shared" si="28"/>
        <v/>
      </c>
      <c r="AZ50" s="48" t="str">
        <f t="shared" si="29"/>
        <v/>
      </c>
      <c r="BA50" s="48" t="str">
        <f t="shared" si="30"/>
        <v/>
      </c>
      <c r="BB50" s="48" t="str">
        <f t="shared" si="31"/>
        <v/>
      </c>
    </row>
    <row r="51" spans="1:54" x14ac:dyDescent="0.2">
      <c r="A51" s="30"/>
      <c r="B51" s="23"/>
      <c r="C51" s="23"/>
      <c r="D51" s="24"/>
      <c r="E51" s="24"/>
      <c r="F51" s="24"/>
      <c r="G51" s="24"/>
      <c r="H51" s="10" t="str">
        <f t="shared" si="2"/>
        <v/>
      </c>
      <c r="I51" s="10" t="str">
        <f t="shared" si="3"/>
        <v/>
      </c>
      <c r="J51" s="24"/>
      <c r="K51" s="13" t="str">
        <f t="shared" si="4"/>
        <v/>
      </c>
      <c r="L51" s="13" t="str">
        <f t="shared" si="5"/>
        <v/>
      </c>
      <c r="M51" s="25"/>
      <c r="N51" s="25"/>
      <c r="O51" s="22"/>
      <c r="P51" s="11" t="str">
        <f t="shared" si="6"/>
        <v/>
      </c>
      <c r="Q51" s="26"/>
      <c r="R51" s="22"/>
      <c r="S51" s="29" t="str">
        <f t="shared" si="7"/>
        <v/>
      </c>
      <c r="T51" s="12" t="str">
        <f t="shared" si="8"/>
        <v/>
      </c>
      <c r="U51" s="12" t="str">
        <f t="shared" si="9"/>
        <v/>
      </c>
      <c r="V51" s="12" t="str">
        <f>IF(AND($B51="",$C51=""),"",HLOOKUP(VLOOKUP($B$1,'Cidade-ER'!$A:$B,2,0),$AP$6:$BB51,ROW()-5,0))</f>
        <v/>
      </c>
      <c r="W51" s="12" t="str">
        <f t="shared" si="10"/>
        <v/>
      </c>
      <c r="X51" s="12" t="str">
        <f t="shared" si="11"/>
        <v/>
      </c>
      <c r="Y51" s="14" t="str">
        <f t="shared" si="12"/>
        <v/>
      </c>
      <c r="Z51" s="12" t="str">
        <f t="shared" si="13"/>
        <v/>
      </c>
      <c r="AA51" s="12" t="str">
        <f>IF(AND($B51="",$C51=""),"",(Sarjeta!$C$17^(5/3))*(Sarjeta!$C$16^(-2/3))*(ABS($K51)^0.5)/Sarjeta!$C$14*1000*2)</f>
        <v/>
      </c>
      <c r="AB51" s="12" t="str">
        <f>IF(AND($B51="",$C51=""),"",(Sarjeta!$C$17/Sarjeta!$C$16)^(2/3)*(ABS($K51)^0.5)/Sarjeta!$C$14)</f>
        <v/>
      </c>
      <c r="AC51" s="36" t="str">
        <f>IF(AND($B51="",$C51=""),"",IF(Z51&lt;AA51,0,MAX(ROUND(Z51/AA51,0)*2,ROUNDUP(ROUND(Z51/Sarjeta!$C$19,0)/2,0)*2)))</f>
        <v/>
      </c>
      <c r="AD51" s="26"/>
      <c r="AE51" s="27"/>
      <c r="AF51" s="32" t="str">
        <f>IF(OR($AE51="",AND($B51="",$C51="")),"",IF(ISERROR(VLOOKUP(AL51,Coeficientes!$A:$C,3,1)),0.05,VLOOKUP(AL51,Coeficientes!$A:$C,3,1)))</f>
        <v/>
      </c>
      <c r="AG51" s="12" t="str">
        <f t="shared" si="1"/>
        <v/>
      </c>
      <c r="AH51" s="30"/>
      <c r="AI51" s="31"/>
      <c r="AJ51" s="48" t="str">
        <f t="shared" si="14"/>
        <v/>
      </c>
      <c r="AK51" s="48" t="str">
        <f t="shared" si="15"/>
        <v/>
      </c>
      <c r="AL51" s="48" t="str">
        <f t="shared" si="16"/>
        <v/>
      </c>
      <c r="AM51" s="48" t="str">
        <f>IF(AND($B51="",$C51=""),"",VLOOKUP($AF51,Coeficientes!$C:$D,2,0))</f>
        <v/>
      </c>
      <c r="AN51" s="48" t="str">
        <f t="shared" si="17"/>
        <v/>
      </c>
      <c r="AO51" s="48" t="str">
        <f t="shared" si="18"/>
        <v/>
      </c>
      <c r="AP51" s="48" t="str">
        <f t="shared" si="19"/>
        <v/>
      </c>
      <c r="AQ51" s="48" t="str">
        <f t="shared" si="20"/>
        <v/>
      </c>
      <c r="AR51" s="48" t="str">
        <f t="shared" si="21"/>
        <v/>
      </c>
      <c r="AS51" s="48" t="str">
        <f t="shared" si="22"/>
        <v/>
      </c>
      <c r="AT51" s="48" t="str">
        <f t="shared" si="23"/>
        <v/>
      </c>
      <c r="AU51" s="48" t="str">
        <f t="shared" si="24"/>
        <v/>
      </c>
      <c r="AV51" s="48" t="str">
        <f t="shared" si="25"/>
        <v/>
      </c>
      <c r="AW51" s="48" t="str">
        <f t="shared" si="26"/>
        <v/>
      </c>
      <c r="AX51" s="48" t="str">
        <f t="shared" si="27"/>
        <v/>
      </c>
      <c r="AY51" s="48" t="str">
        <f t="shared" si="28"/>
        <v/>
      </c>
      <c r="AZ51" s="48" t="str">
        <f t="shared" si="29"/>
        <v/>
      </c>
      <c r="BA51" s="48" t="str">
        <f t="shared" si="30"/>
        <v/>
      </c>
      <c r="BB51" s="48" t="str">
        <f t="shared" si="31"/>
        <v/>
      </c>
    </row>
    <row r="52" spans="1:54" x14ac:dyDescent="0.2">
      <c r="A52" s="30"/>
      <c r="B52" s="23"/>
      <c r="C52" s="23"/>
      <c r="D52" s="24"/>
      <c r="E52" s="24"/>
      <c r="F52" s="24"/>
      <c r="G52" s="24"/>
      <c r="H52" s="10" t="str">
        <f t="shared" si="2"/>
        <v/>
      </c>
      <c r="I52" s="10" t="str">
        <f t="shared" si="3"/>
        <v/>
      </c>
      <c r="J52" s="24"/>
      <c r="K52" s="13" t="str">
        <f t="shared" si="4"/>
        <v/>
      </c>
      <c r="L52" s="13" t="str">
        <f t="shared" si="5"/>
        <v/>
      </c>
      <c r="M52" s="25"/>
      <c r="N52" s="25"/>
      <c r="O52" s="22"/>
      <c r="P52" s="11" t="str">
        <f t="shared" si="6"/>
        <v/>
      </c>
      <c r="Q52" s="26"/>
      <c r="R52" s="22"/>
      <c r="S52" s="29" t="str">
        <f t="shared" si="7"/>
        <v/>
      </c>
      <c r="T52" s="12" t="str">
        <f t="shared" si="8"/>
        <v/>
      </c>
      <c r="U52" s="12" t="str">
        <f t="shared" si="9"/>
        <v/>
      </c>
      <c r="V52" s="12" t="str">
        <f>IF(AND($B52="",$C52=""),"",HLOOKUP(VLOOKUP($B$1,'Cidade-ER'!$A:$B,2,0),$AP$6:$BB52,ROW()-5,0))</f>
        <v/>
      </c>
      <c r="W52" s="12" t="str">
        <f t="shared" si="10"/>
        <v/>
      </c>
      <c r="X52" s="12" t="str">
        <f t="shared" si="11"/>
        <v/>
      </c>
      <c r="Y52" s="14" t="str">
        <f t="shared" si="12"/>
        <v/>
      </c>
      <c r="Z52" s="12" t="str">
        <f t="shared" si="13"/>
        <v/>
      </c>
      <c r="AA52" s="12" t="str">
        <f>IF(AND($B52="",$C52=""),"",(Sarjeta!$C$17^(5/3))*(Sarjeta!$C$16^(-2/3))*(ABS($K52)^0.5)/Sarjeta!$C$14*1000*2)</f>
        <v/>
      </c>
      <c r="AB52" s="12" t="str">
        <f>IF(AND($B52="",$C52=""),"",(Sarjeta!$C$17/Sarjeta!$C$16)^(2/3)*(ABS($K52)^0.5)/Sarjeta!$C$14)</f>
        <v/>
      </c>
      <c r="AC52" s="36" t="str">
        <f>IF(AND($B52="",$C52=""),"",IF(Z52&lt;AA52,0,MAX(ROUND(Z52/AA52,0)*2,ROUNDUP(ROUND(Z52/Sarjeta!$C$19,0)/2,0)*2)))</f>
        <v/>
      </c>
      <c r="AD52" s="26"/>
      <c r="AE52" s="27"/>
      <c r="AF52" s="32" t="str">
        <f>IF(OR($AE52="",AND($B52="",$C52="")),"",IF(ISERROR(VLOOKUP(AL52,Coeficientes!$A:$C,3,1)),0.05,VLOOKUP(AL52,Coeficientes!$A:$C,3,1)))</f>
        <v/>
      </c>
      <c r="AG52" s="12" t="str">
        <f t="shared" si="1"/>
        <v/>
      </c>
      <c r="AH52" s="30"/>
      <c r="AI52" s="31"/>
      <c r="AJ52" s="48" t="str">
        <f t="shared" si="14"/>
        <v/>
      </c>
      <c r="AK52" s="48" t="str">
        <f t="shared" si="15"/>
        <v/>
      </c>
      <c r="AL52" s="48" t="str">
        <f t="shared" si="16"/>
        <v/>
      </c>
      <c r="AM52" s="48" t="str">
        <f>IF(AND($B52="",$C52=""),"",VLOOKUP($AF52,Coeficientes!$C:$D,2,0))</f>
        <v/>
      </c>
      <c r="AN52" s="48" t="str">
        <f t="shared" si="17"/>
        <v/>
      </c>
      <c r="AO52" s="48" t="str">
        <f t="shared" si="18"/>
        <v/>
      </c>
      <c r="AP52" s="48" t="str">
        <f t="shared" si="19"/>
        <v/>
      </c>
      <c r="AQ52" s="48" t="str">
        <f t="shared" si="20"/>
        <v/>
      </c>
      <c r="AR52" s="48" t="str">
        <f t="shared" si="21"/>
        <v/>
      </c>
      <c r="AS52" s="48" t="str">
        <f t="shared" si="22"/>
        <v/>
      </c>
      <c r="AT52" s="48" t="str">
        <f t="shared" si="23"/>
        <v/>
      </c>
      <c r="AU52" s="48" t="str">
        <f t="shared" si="24"/>
        <v/>
      </c>
      <c r="AV52" s="48" t="str">
        <f t="shared" si="25"/>
        <v/>
      </c>
      <c r="AW52" s="48" t="str">
        <f t="shared" si="26"/>
        <v/>
      </c>
      <c r="AX52" s="48" t="str">
        <f t="shared" si="27"/>
        <v/>
      </c>
      <c r="AY52" s="48" t="str">
        <f t="shared" si="28"/>
        <v/>
      </c>
      <c r="AZ52" s="48" t="str">
        <f t="shared" si="29"/>
        <v/>
      </c>
      <c r="BA52" s="48" t="str">
        <f t="shared" si="30"/>
        <v/>
      </c>
      <c r="BB52" s="48" t="str">
        <f t="shared" si="31"/>
        <v/>
      </c>
    </row>
    <row r="53" spans="1:54" x14ac:dyDescent="0.2">
      <c r="A53" s="30"/>
      <c r="B53" s="23"/>
      <c r="C53" s="23"/>
      <c r="D53" s="24"/>
      <c r="E53" s="24"/>
      <c r="F53" s="24"/>
      <c r="G53" s="24"/>
      <c r="H53" s="10" t="str">
        <f t="shared" si="2"/>
        <v/>
      </c>
      <c r="I53" s="10" t="str">
        <f t="shared" si="3"/>
        <v/>
      </c>
      <c r="J53" s="24"/>
      <c r="K53" s="13" t="str">
        <f t="shared" si="4"/>
        <v/>
      </c>
      <c r="L53" s="13" t="str">
        <f t="shared" si="5"/>
        <v/>
      </c>
      <c r="M53" s="25"/>
      <c r="N53" s="25"/>
      <c r="O53" s="22"/>
      <c r="P53" s="11" t="str">
        <f t="shared" si="6"/>
        <v/>
      </c>
      <c r="Q53" s="26"/>
      <c r="R53" s="22"/>
      <c r="S53" s="29" t="str">
        <f t="shared" si="7"/>
        <v/>
      </c>
      <c r="T53" s="12" t="str">
        <f t="shared" si="8"/>
        <v/>
      </c>
      <c r="U53" s="12" t="str">
        <f t="shared" si="9"/>
        <v/>
      </c>
      <c r="V53" s="12" t="str">
        <f>IF(AND($B53="",$C53=""),"",HLOOKUP(VLOOKUP($B$1,'Cidade-ER'!$A:$B,2,0),$AP$6:$BB53,ROW()-5,0))</f>
        <v/>
      </c>
      <c r="W53" s="12" t="str">
        <f t="shared" si="10"/>
        <v/>
      </c>
      <c r="X53" s="12" t="str">
        <f t="shared" si="11"/>
        <v/>
      </c>
      <c r="Y53" s="14" t="str">
        <f t="shared" si="12"/>
        <v/>
      </c>
      <c r="Z53" s="12" t="str">
        <f t="shared" si="13"/>
        <v/>
      </c>
      <c r="AA53" s="12" t="str">
        <f>IF(AND($B53="",$C53=""),"",(Sarjeta!$C$17^(5/3))*(Sarjeta!$C$16^(-2/3))*(ABS($K53)^0.5)/Sarjeta!$C$14*1000*2)</f>
        <v/>
      </c>
      <c r="AB53" s="12" t="str">
        <f>IF(AND($B53="",$C53=""),"",(Sarjeta!$C$17/Sarjeta!$C$16)^(2/3)*(ABS($K53)^0.5)/Sarjeta!$C$14)</f>
        <v/>
      </c>
      <c r="AC53" s="36" t="str">
        <f>IF(AND($B53="",$C53=""),"",IF(Z53&lt;AA53,0,MAX(ROUND(Z53/AA53,0)*2,ROUNDUP(ROUND(Z53/Sarjeta!$C$19,0)/2,0)*2)))</f>
        <v/>
      </c>
      <c r="AD53" s="26"/>
      <c r="AE53" s="27"/>
      <c r="AF53" s="32" t="str">
        <f>IF(OR($AE53="",AND($B53="",$C53="")),"",IF(ISERROR(VLOOKUP(AL53,Coeficientes!$A:$C,3,1)),0.05,VLOOKUP(AL53,Coeficientes!$A:$C,3,1)))</f>
        <v/>
      </c>
      <c r="AG53" s="12" t="str">
        <f t="shared" si="1"/>
        <v/>
      </c>
      <c r="AH53" s="30"/>
      <c r="AI53" s="31"/>
      <c r="AJ53" s="48" t="str">
        <f t="shared" si="14"/>
        <v/>
      </c>
      <c r="AK53" s="48" t="str">
        <f t="shared" si="15"/>
        <v/>
      </c>
      <c r="AL53" s="48" t="str">
        <f t="shared" si="16"/>
        <v/>
      </c>
      <c r="AM53" s="48" t="str">
        <f>IF(AND($B53="",$C53=""),"",VLOOKUP($AF53,Coeficientes!$C:$D,2,0))</f>
        <v/>
      </c>
      <c r="AN53" s="48" t="str">
        <f t="shared" si="17"/>
        <v/>
      </c>
      <c r="AO53" s="48" t="str">
        <f t="shared" si="18"/>
        <v/>
      </c>
      <c r="AP53" s="48" t="str">
        <f t="shared" si="19"/>
        <v/>
      </c>
      <c r="AQ53" s="48" t="str">
        <f t="shared" si="20"/>
        <v/>
      </c>
      <c r="AR53" s="48" t="str">
        <f t="shared" si="21"/>
        <v/>
      </c>
      <c r="AS53" s="48" t="str">
        <f t="shared" si="22"/>
        <v/>
      </c>
      <c r="AT53" s="48" t="str">
        <f t="shared" si="23"/>
        <v/>
      </c>
      <c r="AU53" s="48" t="str">
        <f t="shared" si="24"/>
        <v/>
      </c>
      <c r="AV53" s="48" t="str">
        <f t="shared" si="25"/>
        <v/>
      </c>
      <c r="AW53" s="48" t="str">
        <f t="shared" si="26"/>
        <v/>
      </c>
      <c r="AX53" s="48" t="str">
        <f t="shared" si="27"/>
        <v/>
      </c>
      <c r="AY53" s="48" t="str">
        <f t="shared" si="28"/>
        <v/>
      </c>
      <c r="AZ53" s="48" t="str">
        <f t="shared" si="29"/>
        <v/>
      </c>
      <c r="BA53" s="48" t="str">
        <f t="shared" si="30"/>
        <v/>
      </c>
      <c r="BB53" s="48" t="str">
        <f t="shared" si="31"/>
        <v/>
      </c>
    </row>
    <row r="54" spans="1:54" x14ac:dyDescent="0.2">
      <c r="A54" s="30"/>
      <c r="B54" s="23"/>
      <c r="C54" s="23"/>
      <c r="D54" s="24"/>
      <c r="E54" s="24"/>
      <c r="F54" s="24"/>
      <c r="G54" s="24"/>
      <c r="H54" s="10" t="str">
        <f t="shared" si="2"/>
        <v/>
      </c>
      <c r="I54" s="10" t="str">
        <f t="shared" si="3"/>
        <v/>
      </c>
      <c r="J54" s="24"/>
      <c r="K54" s="13" t="str">
        <f t="shared" si="4"/>
        <v/>
      </c>
      <c r="L54" s="13" t="str">
        <f t="shared" si="5"/>
        <v/>
      </c>
      <c r="M54" s="25"/>
      <c r="N54" s="25"/>
      <c r="O54" s="22"/>
      <c r="P54" s="11" t="str">
        <f t="shared" si="6"/>
        <v/>
      </c>
      <c r="Q54" s="26"/>
      <c r="R54" s="22"/>
      <c r="S54" s="29" t="str">
        <f t="shared" si="7"/>
        <v/>
      </c>
      <c r="T54" s="12" t="str">
        <f t="shared" si="8"/>
        <v/>
      </c>
      <c r="U54" s="12" t="str">
        <f t="shared" si="9"/>
        <v/>
      </c>
      <c r="V54" s="12" t="str">
        <f>IF(AND($B54="",$C54=""),"",HLOOKUP(VLOOKUP($B$1,'Cidade-ER'!$A:$B,2,0),$AP$6:$BB54,ROW()-5,0))</f>
        <v/>
      </c>
      <c r="W54" s="12" t="str">
        <f t="shared" si="10"/>
        <v/>
      </c>
      <c r="X54" s="12" t="str">
        <f t="shared" si="11"/>
        <v/>
      </c>
      <c r="Y54" s="14" t="str">
        <f t="shared" si="12"/>
        <v/>
      </c>
      <c r="Z54" s="12" t="str">
        <f t="shared" si="13"/>
        <v/>
      </c>
      <c r="AA54" s="12" t="str">
        <f>IF(AND($B54="",$C54=""),"",(Sarjeta!$C$17^(5/3))*(Sarjeta!$C$16^(-2/3))*(ABS($K54)^0.5)/Sarjeta!$C$14*1000*2)</f>
        <v/>
      </c>
      <c r="AB54" s="12" t="str">
        <f>IF(AND($B54="",$C54=""),"",(Sarjeta!$C$17/Sarjeta!$C$16)^(2/3)*(ABS($K54)^0.5)/Sarjeta!$C$14)</f>
        <v/>
      </c>
      <c r="AC54" s="36" t="str">
        <f>IF(AND($B54="",$C54=""),"",IF(Z54&lt;AA54,0,MAX(ROUND(Z54/AA54,0)*2,ROUNDUP(ROUND(Z54/Sarjeta!$C$19,0)/2,0)*2)))</f>
        <v/>
      </c>
      <c r="AD54" s="26"/>
      <c r="AE54" s="27"/>
      <c r="AF54" s="32" t="str">
        <f>IF(OR($AE54="",AND($B54="",$C54="")),"",IF(ISERROR(VLOOKUP(AL54,Coeficientes!$A:$C,3,1)),0.05,VLOOKUP(AL54,Coeficientes!$A:$C,3,1)))</f>
        <v/>
      </c>
      <c r="AG54" s="12" t="str">
        <f t="shared" si="1"/>
        <v/>
      </c>
      <c r="AH54" s="30"/>
      <c r="AI54" s="31"/>
      <c r="AJ54" s="48" t="str">
        <f t="shared" si="14"/>
        <v/>
      </c>
      <c r="AK54" s="48" t="str">
        <f t="shared" si="15"/>
        <v/>
      </c>
      <c r="AL54" s="48" t="str">
        <f t="shared" si="16"/>
        <v/>
      </c>
      <c r="AM54" s="48" t="str">
        <f>IF(AND($B54="",$C54=""),"",VLOOKUP($AF54,Coeficientes!$C:$D,2,0))</f>
        <v/>
      </c>
      <c r="AN54" s="48" t="str">
        <f t="shared" si="17"/>
        <v/>
      </c>
      <c r="AO54" s="48" t="str">
        <f t="shared" si="18"/>
        <v/>
      </c>
      <c r="AP54" s="48" t="str">
        <f t="shared" si="19"/>
        <v/>
      </c>
      <c r="AQ54" s="48" t="str">
        <f t="shared" si="20"/>
        <v/>
      </c>
      <c r="AR54" s="48" t="str">
        <f t="shared" si="21"/>
        <v/>
      </c>
      <c r="AS54" s="48" t="str">
        <f t="shared" si="22"/>
        <v/>
      </c>
      <c r="AT54" s="48" t="str">
        <f t="shared" si="23"/>
        <v/>
      </c>
      <c r="AU54" s="48" t="str">
        <f t="shared" si="24"/>
        <v/>
      </c>
      <c r="AV54" s="48" t="str">
        <f t="shared" si="25"/>
        <v/>
      </c>
      <c r="AW54" s="48" t="str">
        <f t="shared" si="26"/>
        <v/>
      </c>
      <c r="AX54" s="48" t="str">
        <f t="shared" si="27"/>
        <v/>
      </c>
      <c r="AY54" s="48" t="str">
        <f t="shared" si="28"/>
        <v/>
      </c>
      <c r="AZ54" s="48" t="str">
        <f t="shared" si="29"/>
        <v/>
      </c>
      <c r="BA54" s="48" t="str">
        <f t="shared" si="30"/>
        <v/>
      </c>
      <c r="BB54" s="48" t="str">
        <f t="shared" si="31"/>
        <v/>
      </c>
    </row>
    <row r="55" spans="1:54" x14ac:dyDescent="0.2">
      <c r="A55" s="30"/>
      <c r="B55" s="23"/>
      <c r="C55" s="23"/>
      <c r="D55" s="24"/>
      <c r="E55" s="24"/>
      <c r="F55" s="24"/>
      <c r="G55" s="24"/>
      <c r="H55" s="10" t="str">
        <f t="shared" si="2"/>
        <v/>
      </c>
      <c r="I55" s="10" t="str">
        <f t="shared" si="3"/>
        <v/>
      </c>
      <c r="J55" s="24"/>
      <c r="K55" s="13" t="str">
        <f t="shared" si="4"/>
        <v/>
      </c>
      <c r="L55" s="13" t="str">
        <f t="shared" si="5"/>
        <v/>
      </c>
      <c r="M55" s="25"/>
      <c r="N55" s="25"/>
      <c r="O55" s="22"/>
      <c r="P55" s="11" t="str">
        <f t="shared" si="6"/>
        <v/>
      </c>
      <c r="Q55" s="26"/>
      <c r="R55" s="22"/>
      <c r="S55" s="29" t="str">
        <f t="shared" si="7"/>
        <v/>
      </c>
      <c r="T55" s="12" t="str">
        <f t="shared" si="8"/>
        <v/>
      </c>
      <c r="U55" s="12" t="str">
        <f t="shared" si="9"/>
        <v/>
      </c>
      <c r="V55" s="12" t="str">
        <f>IF(AND($B55="",$C55=""),"",HLOOKUP(VLOOKUP($B$1,'Cidade-ER'!$A:$B,2,0),$AP$6:$BB55,ROW()-5,0))</f>
        <v/>
      </c>
      <c r="W55" s="12" t="str">
        <f t="shared" si="10"/>
        <v/>
      </c>
      <c r="X55" s="12" t="str">
        <f t="shared" si="11"/>
        <v/>
      </c>
      <c r="Y55" s="14" t="str">
        <f t="shared" si="12"/>
        <v/>
      </c>
      <c r="Z55" s="12" t="str">
        <f t="shared" si="13"/>
        <v/>
      </c>
      <c r="AA55" s="12" t="str">
        <f>IF(AND($B55="",$C55=""),"",(Sarjeta!$C$17^(5/3))*(Sarjeta!$C$16^(-2/3))*(ABS($K55)^0.5)/Sarjeta!$C$14*1000*2)</f>
        <v/>
      </c>
      <c r="AB55" s="12" t="str">
        <f>IF(AND($B55="",$C55=""),"",(Sarjeta!$C$17/Sarjeta!$C$16)^(2/3)*(ABS($K55)^0.5)/Sarjeta!$C$14)</f>
        <v/>
      </c>
      <c r="AC55" s="36" t="str">
        <f>IF(AND($B55="",$C55=""),"",IF(Z55&lt;AA55,0,MAX(ROUND(Z55/AA55,0)*2,ROUNDUP(ROUND(Z55/Sarjeta!$C$19,0)/2,0)*2)))</f>
        <v/>
      </c>
      <c r="AD55" s="26"/>
      <c r="AE55" s="27"/>
      <c r="AF55" s="32" t="str">
        <f>IF(OR($AE55="",AND($B55="",$C55="")),"",IF(ISERROR(VLOOKUP(AL55,Coeficientes!$A:$C,3,1)),0.05,VLOOKUP(AL55,Coeficientes!$A:$C,3,1)))</f>
        <v/>
      </c>
      <c r="AG55" s="12" t="str">
        <f t="shared" si="1"/>
        <v/>
      </c>
      <c r="AH55" s="30"/>
      <c r="AI55" s="31"/>
      <c r="AJ55" s="48" t="str">
        <f t="shared" si="14"/>
        <v/>
      </c>
      <c r="AK55" s="48" t="str">
        <f t="shared" si="15"/>
        <v/>
      </c>
      <c r="AL55" s="48" t="str">
        <f t="shared" si="16"/>
        <v/>
      </c>
      <c r="AM55" s="48" t="str">
        <f>IF(AND($B55="",$C55=""),"",VLOOKUP($AF55,Coeficientes!$C:$D,2,0))</f>
        <v/>
      </c>
      <c r="AN55" s="48" t="str">
        <f t="shared" si="17"/>
        <v/>
      </c>
      <c r="AO55" s="48" t="str">
        <f t="shared" si="18"/>
        <v/>
      </c>
      <c r="AP55" s="48" t="str">
        <f t="shared" si="19"/>
        <v/>
      </c>
      <c r="AQ55" s="48" t="str">
        <f t="shared" si="20"/>
        <v/>
      </c>
      <c r="AR55" s="48" t="str">
        <f t="shared" si="21"/>
        <v/>
      </c>
      <c r="AS55" s="48" t="str">
        <f t="shared" si="22"/>
        <v/>
      </c>
      <c r="AT55" s="48" t="str">
        <f t="shared" si="23"/>
        <v/>
      </c>
      <c r="AU55" s="48" t="str">
        <f t="shared" si="24"/>
        <v/>
      </c>
      <c r="AV55" s="48" t="str">
        <f t="shared" si="25"/>
        <v/>
      </c>
      <c r="AW55" s="48" t="str">
        <f t="shared" si="26"/>
        <v/>
      </c>
      <c r="AX55" s="48" t="str">
        <f t="shared" si="27"/>
        <v/>
      </c>
      <c r="AY55" s="48" t="str">
        <f t="shared" si="28"/>
        <v/>
      </c>
      <c r="AZ55" s="48" t="str">
        <f t="shared" si="29"/>
        <v/>
      </c>
      <c r="BA55" s="48" t="str">
        <f t="shared" si="30"/>
        <v/>
      </c>
      <c r="BB55" s="48" t="str">
        <f t="shared" si="31"/>
        <v/>
      </c>
    </row>
    <row r="56" spans="1:54" x14ac:dyDescent="0.2">
      <c r="A56" s="30"/>
      <c r="B56" s="23"/>
      <c r="C56" s="23"/>
      <c r="D56" s="24"/>
      <c r="E56" s="24"/>
      <c r="F56" s="24"/>
      <c r="G56" s="24"/>
      <c r="H56" s="10" t="str">
        <f t="shared" si="2"/>
        <v/>
      </c>
      <c r="I56" s="10" t="str">
        <f t="shared" si="3"/>
        <v/>
      </c>
      <c r="J56" s="24"/>
      <c r="K56" s="13" t="str">
        <f t="shared" si="4"/>
        <v/>
      </c>
      <c r="L56" s="13" t="str">
        <f t="shared" si="5"/>
        <v/>
      </c>
      <c r="M56" s="25"/>
      <c r="N56" s="25"/>
      <c r="O56" s="22"/>
      <c r="P56" s="11" t="str">
        <f t="shared" si="6"/>
        <v/>
      </c>
      <c r="Q56" s="26"/>
      <c r="R56" s="22"/>
      <c r="S56" s="29" t="str">
        <f t="shared" si="7"/>
        <v/>
      </c>
      <c r="T56" s="12" t="str">
        <f t="shared" si="8"/>
        <v/>
      </c>
      <c r="U56" s="12" t="str">
        <f t="shared" si="9"/>
        <v/>
      </c>
      <c r="V56" s="12" t="str">
        <f>IF(AND($B56="",$C56=""),"",HLOOKUP(VLOOKUP($B$1,'Cidade-ER'!$A:$B,2,0),$AP$6:$BB56,ROW()-5,0))</f>
        <v/>
      </c>
      <c r="W56" s="12" t="str">
        <f t="shared" si="10"/>
        <v/>
      </c>
      <c r="X56" s="12" t="str">
        <f t="shared" si="11"/>
        <v/>
      </c>
      <c r="Y56" s="14" t="str">
        <f t="shared" si="12"/>
        <v/>
      </c>
      <c r="Z56" s="12" t="str">
        <f t="shared" si="13"/>
        <v/>
      </c>
      <c r="AA56" s="12" t="str">
        <f>IF(AND($B56="",$C56=""),"",(Sarjeta!$C$17^(5/3))*(Sarjeta!$C$16^(-2/3))*(ABS($K56)^0.5)/Sarjeta!$C$14*1000*2)</f>
        <v/>
      </c>
      <c r="AB56" s="12" t="str">
        <f>IF(AND($B56="",$C56=""),"",(Sarjeta!$C$17/Sarjeta!$C$16)^(2/3)*(ABS($K56)^0.5)/Sarjeta!$C$14)</f>
        <v/>
      </c>
      <c r="AC56" s="36" t="str">
        <f>IF(AND($B56="",$C56=""),"",IF(Z56&lt;AA56,0,MAX(ROUND(Z56/AA56,0)*2,ROUNDUP(ROUND(Z56/Sarjeta!$C$19,0)/2,0)*2)))</f>
        <v/>
      </c>
      <c r="AD56" s="26"/>
      <c r="AE56" s="27"/>
      <c r="AF56" s="32" t="str">
        <f>IF(OR($AE56="",AND($B56="",$C56="")),"",IF(ISERROR(VLOOKUP(AL56,Coeficientes!$A:$C,3,1)),0.05,VLOOKUP(AL56,Coeficientes!$A:$C,3,1)))</f>
        <v/>
      </c>
      <c r="AG56" s="12" t="str">
        <f t="shared" si="1"/>
        <v/>
      </c>
      <c r="AH56" s="30"/>
      <c r="AI56" s="31"/>
      <c r="AJ56" s="48" t="str">
        <f t="shared" si="14"/>
        <v/>
      </c>
      <c r="AK56" s="48" t="str">
        <f t="shared" si="15"/>
        <v/>
      </c>
      <c r="AL56" s="48" t="str">
        <f t="shared" si="16"/>
        <v/>
      </c>
      <c r="AM56" s="48" t="str">
        <f>IF(AND($B56="",$C56=""),"",VLOOKUP($AF56,Coeficientes!$C:$D,2,0))</f>
        <v/>
      </c>
      <c r="AN56" s="48" t="str">
        <f t="shared" si="17"/>
        <v/>
      </c>
      <c r="AO56" s="48" t="str">
        <f t="shared" si="18"/>
        <v/>
      </c>
      <c r="AP56" s="48" t="str">
        <f t="shared" si="19"/>
        <v/>
      </c>
      <c r="AQ56" s="48" t="str">
        <f t="shared" si="20"/>
        <v/>
      </c>
      <c r="AR56" s="48" t="str">
        <f t="shared" si="21"/>
        <v/>
      </c>
      <c r="AS56" s="48" t="str">
        <f t="shared" si="22"/>
        <v/>
      </c>
      <c r="AT56" s="48" t="str">
        <f t="shared" si="23"/>
        <v/>
      </c>
      <c r="AU56" s="48" t="str">
        <f t="shared" si="24"/>
        <v/>
      </c>
      <c r="AV56" s="48" t="str">
        <f t="shared" si="25"/>
        <v/>
      </c>
      <c r="AW56" s="48" t="str">
        <f t="shared" si="26"/>
        <v/>
      </c>
      <c r="AX56" s="48" t="str">
        <f t="shared" si="27"/>
        <v/>
      </c>
      <c r="AY56" s="48" t="str">
        <f t="shared" si="28"/>
        <v/>
      </c>
      <c r="AZ56" s="48" t="str">
        <f t="shared" si="29"/>
        <v/>
      </c>
      <c r="BA56" s="48" t="str">
        <f t="shared" si="30"/>
        <v/>
      </c>
      <c r="BB56" s="48" t="str">
        <f t="shared" si="31"/>
        <v/>
      </c>
    </row>
    <row r="57" spans="1:54" x14ac:dyDescent="0.2">
      <c r="A57" s="30"/>
      <c r="B57" s="23"/>
      <c r="C57" s="23"/>
      <c r="D57" s="24"/>
      <c r="E57" s="24"/>
      <c r="F57" s="24"/>
      <c r="G57" s="24"/>
      <c r="H57" s="10" t="str">
        <f t="shared" si="2"/>
        <v/>
      </c>
      <c r="I57" s="10" t="str">
        <f t="shared" si="3"/>
        <v/>
      </c>
      <c r="J57" s="24"/>
      <c r="K57" s="13" t="str">
        <f t="shared" si="4"/>
        <v/>
      </c>
      <c r="L57" s="13" t="str">
        <f t="shared" si="5"/>
        <v/>
      </c>
      <c r="M57" s="25"/>
      <c r="N57" s="25"/>
      <c r="O57" s="22"/>
      <c r="P57" s="11" t="str">
        <f t="shared" si="6"/>
        <v/>
      </c>
      <c r="Q57" s="26"/>
      <c r="R57" s="22"/>
      <c r="S57" s="29" t="str">
        <f t="shared" si="7"/>
        <v/>
      </c>
      <c r="T57" s="12" t="str">
        <f t="shared" si="8"/>
        <v/>
      </c>
      <c r="U57" s="12" t="str">
        <f t="shared" si="9"/>
        <v/>
      </c>
      <c r="V57" s="12" t="str">
        <f>IF(AND($B57="",$C57=""),"",HLOOKUP(VLOOKUP($B$1,'Cidade-ER'!$A:$B,2,0),$AP$6:$BB57,ROW()-5,0))</f>
        <v/>
      </c>
      <c r="W57" s="12" t="str">
        <f t="shared" si="10"/>
        <v/>
      </c>
      <c r="X57" s="12" t="str">
        <f t="shared" si="11"/>
        <v/>
      </c>
      <c r="Y57" s="14" t="str">
        <f t="shared" si="12"/>
        <v/>
      </c>
      <c r="Z57" s="12" t="str">
        <f t="shared" si="13"/>
        <v/>
      </c>
      <c r="AA57" s="12" t="str">
        <f>IF(AND($B57="",$C57=""),"",(Sarjeta!$C$17^(5/3))*(Sarjeta!$C$16^(-2/3))*(ABS($K57)^0.5)/Sarjeta!$C$14*1000*2)</f>
        <v/>
      </c>
      <c r="AB57" s="12" t="str">
        <f>IF(AND($B57="",$C57=""),"",(Sarjeta!$C$17/Sarjeta!$C$16)^(2/3)*(ABS($K57)^0.5)/Sarjeta!$C$14)</f>
        <v/>
      </c>
      <c r="AC57" s="36" t="str">
        <f>IF(AND($B57="",$C57=""),"",IF(Z57&lt;AA57,0,MAX(ROUND(Z57/AA57,0)*2,ROUNDUP(ROUND(Z57/Sarjeta!$C$19,0)/2,0)*2)))</f>
        <v/>
      </c>
      <c r="AD57" s="26"/>
      <c r="AE57" s="27"/>
      <c r="AF57" s="32" t="str">
        <f>IF(OR($AE57="",AND($B57="",$C57="")),"",IF(ISERROR(VLOOKUP(AL57,Coeficientes!$A:$C,3,1)),0.05,VLOOKUP(AL57,Coeficientes!$A:$C,3,1)))</f>
        <v/>
      </c>
      <c r="AG57" s="12" t="str">
        <f t="shared" si="1"/>
        <v/>
      </c>
      <c r="AH57" s="30"/>
      <c r="AI57" s="31"/>
      <c r="AJ57" s="48" t="str">
        <f t="shared" si="14"/>
        <v/>
      </c>
      <c r="AK57" s="48" t="str">
        <f t="shared" si="15"/>
        <v/>
      </c>
      <c r="AL57" s="48" t="str">
        <f t="shared" si="16"/>
        <v/>
      </c>
      <c r="AM57" s="48" t="str">
        <f>IF(AND($B57="",$C57=""),"",VLOOKUP($AF57,Coeficientes!$C:$D,2,0))</f>
        <v/>
      </c>
      <c r="AN57" s="48" t="str">
        <f t="shared" si="17"/>
        <v/>
      </c>
      <c r="AO57" s="48" t="str">
        <f t="shared" si="18"/>
        <v/>
      </c>
      <c r="AP57" s="48" t="str">
        <f t="shared" si="19"/>
        <v/>
      </c>
      <c r="AQ57" s="48" t="str">
        <f t="shared" si="20"/>
        <v/>
      </c>
      <c r="AR57" s="48" t="str">
        <f t="shared" si="21"/>
        <v/>
      </c>
      <c r="AS57" s="48" t="str">
        <f t="shared" si="22"/>
        <v/>
      </c>
      <c r="AT57" s="48" t="str">
        <f t="shared" si="23"/>
        <v/>
      </c>
      <c r="AU57" s="48" t="str">
        <f t="shared" si="24"/>
        <v/>
      </c>
      <c r="AV57" s="48" t="str">
        <f t="shared" si="25"/>
        <v/>
      </c>
      <c r="AW57" s="48" t="str">
        <f t="shared" si="26"/>
        <v/>
      </c>
      <c r="AX57" s="48" t="str">
        <f t="shared" si="27"/>
        <v/>
      </c>
      <c r="AY57" s="48" t="str">
        <f t="shared" si="28"/>
        <v/>
      </c>
      <c r="AZ57" s="48" t="str">
        <f t="shared" si="29"/>
        <v/>
      </c>
      <c r="BA57" s="48" t="str">
        <f t="shared" si="30"/>
        <v/>
      </c>
      <c r="BB57" s="48" t="str">
        <f t="shared" si="31"/>
        <v/>
      </c>
    </row>
    <row r="58" spans="1:54" x14ac:dyDescent="0.2">
      <c r="A58" s="30"/>
      <c r="B58" s="23"/>
      <c r="C58" s="23"/>
      <c r="D58" s="24"/>
      <c r="E58" s="24"/>
      <c r="F58" s="24"/>
      <c r="G58" s="24"/>
      <c r="H58" s="10" t="str">
        <f t="shared" si="2"/>
        <v/>
      </c>
      <c r="I58" s="10" t="str">
        <f t="shared" si="3"/>
        <v/>
      </c>
      <c r="J58" s="24"/>
      <c r="K58" s="13" t="str">
        <f t="shared" si="4"/>
        <v/>
      </c>
      <c r="L58" s="13" t="str">
        <f t="shared" si="5"/>
        <v/>
      </c>
      <c r="M58" s="25"/>
      <c r="N58" s="25"/>
      <c r="O58" s="22"/>
      <c r="P58" s="11" t="str">
        <f t="shared" si="6"/>
        <v/>
      </c>
      <c r="Q58" s="26"/>
      <c r="R58" s="22"/>
      <c r="S58" s="29" t="str">
        <f t="shared" si="7"/>
        <v/>
      </c>
      <c r="T58" s="12" t="str">
        <f t="shared" si="8"/>
        <v/>
      </c>
      <c r="U58" s="12" t="str">
        <f t="shared" si="9"/>
        <v/>
      </c>
      <c r="V58" s="12" t="str">
        <f>IF(AND($B58="",$C58=""),"",HLOOKUP(VLOOKUP($B$1,'Cidade-ER'!$A:$B,2,0),$AP$6:$BB58,ROW()-5,0))</f>
        <v/>
      </c>
      <c r="W58" s="12" t="str">
        <f t="shared" si="10"/>
        <v/>
      </c>
      <c r="X58" s="12" t="str">
        <f t="shared" si="11"/>
        <v/>
      </c>
      <c r="Y58" s="14" t="str">
        <f t="shared" si="12"/>
        <v/>
      </c>
      <c r="Z58" s="12" t="str">
        <f t="shared" si="13"/>
        <v/>
      </c>
      <c r="AA58" s="12" t="str">
        <f>IF(AND($B58="",$C58=""),"",(Sarjeta!$C$17^(5/3))*(Sarjeta!$C$16^(-2/3))*(ABS($K58)^0.5)/Sarjeta!$C$14*1000*2)</f>
        <v/>
      </c>
      <c r="AB58" s="12" t="str">
        <f>IF(AND($B58="",$C58=""),"",(Sarjeta!$C$17/Sarjeta!$C$16)^(2/3)*(ABS($K58)^0.5)/Sarjeta!$C$14)</f>
        <v/>
      </c>
      <c r="AC58" s="36" t="str">
        <f>IF(AND($B58="",$C58=""),"",IF(Z58&lt;AA58,0,MAX(ROUND(Z58/AA58,0)*2,ROUNDUP(ROUND(Z58/Sarjeta!$C$19,0)/2,0)*2)))</f>
        <v/>
      </c>
      <c r="AD58" s="26"/>
      <c r="AE58" s="27"/>
      <c r="AF58" s="32" t="str">
        <f>IF(OR($AE58="",AND($B58="",$C58="")),"",IF(ISERROR(VLOOKUP(AL58,Coeficientes!$A:$C,3,1)),0.05,VLOOKUP(AL58,Coeficientes!$A:$C,3,1)))</f>
        <v/>
      </c>
      <c r="AG58" s="12" t="str">
        <f t="shared" si="1"/>
        <v/>
      </c>
      <c r="AH58" s="30"/>
      <c r="AI58" s="31"/>
      <c r="AJ58" s="48" t="str">
        <f t="shared" si="14"/>
        <v/>
      </c>
      <c r="AK58" s="48" t="str">
        <f t="shared" si="15"/>
        <v/>
      </c>
      <c r="AL58" s="48" t="str">
        <f t="shared" si="16"/>
        <v/>
      </c>
      <c r="AM58" s="48" t="str">
        <f>IF(AND($B58="",$C58=""),"",VLOOKUP($AF58,Coeficientes!$C:$D,2,0))</f>
        <v/>
      </c>
      <c r="AN58" s="48" t="str">
        <f t="shared" si="17"/>
        <v/>
      </c>
      <c r="AO58" s="48" t="str">
        <f t="shared" si="18"/>
        <v/>
      </c>
      <c r="AP58" s="48" t="str">
        <f t="shared" si="19"/>
        <v/>
      </c>
      <c r="AQ58" s="48" t="str">
        <f t="shared" si="20"/>
        <v/>
      </c>
      <c r="AR58" s="48" t="str">
        <f t="shared" si="21"/>
        <v/>
      </c>
      <c r="AS58" s="48" t="str">
        <f t="shared" si="22"/>
        <v/>
      </c>
      <c r="AT58" s="48" t="str">
        <f t="shared" si="23"/>
        <v/>
      </c>
      <c r="AU58" s="48" t="str">
        <f t="shared" si="24"/>
        <v/>
      </c>
      <c r="AV58" s="48" t="str">
        <f t="shared" si="25"/>
        <v/>
      </c>
      <c r="AW58" s="48" t="str">
        <f t="shared" si="26"/>
        <v/>
      </c>
      <c r="AX58" s="48" t="str">
        <f t="shared" si="27"/>
        <v/>
      </c>
      <c r="AY58" s="48" t="str">
        <f t="shared" si="28"/>
        <v/>
      </c>
      <c r="AZ58" s="48" t="str">
        <f t="shared" si="29"/>
        <v/>
      </c>
      <c r="BA58" s="48" t="str">
        <f t="shared" si="30"/>
        <v/>
      </c>
      <c r="BB58" s="48" t="str">
        <f t="shared" si="31"/>
        <v/>
      </c>
    </row>
    <row r="59" spans="1:54" x14ac:dyDescent="0.2">
      <c r="A59" s="30"/>
      <c r="B59" s="23"/>
      <c r="C59" s="23"/>
      <c r="D59" s="24"/>
      <c r="E59" s="24"/>
      <c r="F59" s="24"/>
      <c r="G59" s="24"/>
      <c r="H59" s="10" t="str">
        <f t="shared" si="2"/>
        <v/>
      </c>
      <c r="I59" s="10" t="str">
        <f t="shared" si="3"/>
        <v/>
      </c>
      <c r="J59" s="24"/>
      <c r="K59" s="13" t="str">
        <f t="shared" si="4"/>
        <v/>
      </c>
      <c r="L59" s="13" t="str">
        <f t="shared" si="5"/>
        <v/>
      </c>
      <c r="M59" s="25"/>
      <c r="N59" s="25"/>
      <c r="O59" s="22"/>
      <c r="P59" s="11" t="str">
        <f t="shared" si="6"/>
        <v/>
      </c>
      <c r="Q59" s="26"/>
      <c r="R59" s="22"/>
      <c r="S59" s="29" t="str">
        <f t="shared" si="7"/>
        <v/>
      </c>
      <c r="T59" s="12" t="str">
        <f t="shared" si="8"/>
        <v/>
      </c>
      <c r="U59" s="12" t="str">
        <f t="shared" si="9"/>
        <v/>
      </c>
      <c r="V59" s="12" t="str">
        <f>IF(AND($B59="",$C59=""),"",HLOOKUP(VLOOKUP($B$1,'Cidade-ER'!$A:$B,2,0),$AP$6:$BB59,ROW()-5,0))</f>
        <v/>
      </c>
      <c r="W59" s="12" t="str">
        <f t="shared" si="10"/>
        <v/>
      </c>
      <c r="X59" s="12" t="str">
        <f t="shared" si="11"/>
        <v/>
      </c>
      <c r="Y59" s="14" t="str">
        <f t="shared" si="12"/>
        <v/>
      </c>
      <c r="Z59" s="12" t="str">
        <f t="shared" si="13"/>
        <v/>
      </c>
      <c r="AA59" s="12" t="str">
        <f>IF(AND($B59="",$C59=""),"",(Sarjeta!$C$17^(5/3))*(Sarjeta!$C$16^(-2/3))*(ABS($K59)^0.5)/Sarjeta!$C$14*1000*2)</f>
        <v/>
      </c>
      <c r="AB59" s="12" t="str">
        <f>IF(AND($B59="",$C59=""),"",(Sarjeta!$C$17/Sarjeta!$C$16)^(2/3)*(ABS($K59)^0.5)/Sarjeta!$C$14)</f>
        <v/>
      </c>
      <c r="AC59" s="36" t="str">
        <f>IF(AND($B59="",$C59=""),"",IF(Z59&lt;AA59,0,MAX(ROUND(Z59/AA59,0)*2,ROUNDUP(ROUND(Z59/Sarjeta!$C$19,0)/2,0)*2)))</f>
        <v/>
      </c>
      <c r="AD59" s="26"/>
      <c r="AE59" s="27"/>
      <c r="AF59" s="32" t="str">
        <f>IF(OR($AE59="",AND($B59="",$C59="")),"",IF(ISERROR(VLOOKUP(AL59,Coeficientes!$A:$C,3,1)),0.05,VLOOKUP(AL59,Coeficientes!$A:$C,3,1)))</f>
        <v/>
      </c>
      <c r="AG59" s="12" t="str">
        <f t="shared" si="1"/>
        <v/>
      </c>
      <c r="AH59" s="30"/>
      <c r="AI59" s="31"/>
      <c r="AJ59" s="48" t="str">
        <f t="shared" si="14"/>
        <v/>
      </c>
      <c r="AK59" s="48" t="str">
        <f t="shared" si="15"/>
        <v/>
      </c>
      <c r="AL59" s="48" t="str">
        <f t="shared" si="16"/>
        <v/>
      </c>
      <c r="AM59" s="48" t="str">
        <f>IF(AND($B59="",$C59=""),"",VLOOKUP($AF59,Coeficientes!$C:$D,2,0))</f>
        <v/>
      </c>
      <c r="AN59" s="48" t="str">
        <f t="shared" si="17"/>
        <v/>
      </c>
      <c r="AO59" s="48" t="str">
        <f t="shared" si="18"/>
        <v/>
      </c>
      <c r="AP59" s="48" t="str">
        <f t="shared" si="19"/>
        <v/>
      </c>
      <c r="AQ59" s="48" t="str">
        <f t="shared" si="20"/>
        <v/>
      </c>
      <c r="AR59" s="48" t="str">
        <f t="shared" si="21"/>
        <v/>
      </c>
      <c r="AS59" s="48" t="str">
        <f t="shared" si="22"/>
        <v/>
      </c>
      <c r="AT59" s="48" t="str">
        <f t="shared" si="23"/>
        <v/>
      </c>
      <c r="AU59" s="48" t="str">
        <f t="shared" si="24"/>
        <v/>
      </c>
      <c r="AV59" s="48" t="str">
        <f t="shared" si="25"/>
        <v/>
      </c>
      <c r="AW59" s="48" t="str">
        <f t="shared" si="26"/>
        <v/>
      </c>
      <c r="AX59" s="48" t="str">
        <f t="shared" si="27"/>
        <v/>
      </c>
      <c r="AY59" s="48" t="str">
        <f t="shared" si="28"/>
        <v/>
      </c>
      <c r="AZ59" s="48" t="str">
        <f t="shared" si="29"/>
        <v/>
      </c>
      <c r="BA59" s="48" t="str">
        <f t="shared" si="30"/>
        <v/>
      </c>
      <c r="BB59" s="48" t="str">
        <f t="shared" si="31"/>
        <v/>
      </c>
    </row>
    <row r="60" spans="1:54" x14ac:dyDescent="0.2">
      <c r="A60" s="30"/>
      <c r="B60" s="23"/>
      <c r="C60" s="23"/>
      <c r="D60" s="24"/>
      <c r="E60" s="24"/>
      <c r="F60" s="24"/>
      <c r="G60" s="24"/>
      <c r="H60" s="10" t="str">
        <f t="shared" si="2"/>
        <v/>
      </c>
      <c r="I60" s="10" t="str">
        <f t="shared" si="3"/>
        <v/>
      </c>
      <c r="J60" s="24"/>
      <c r="K60" s="13" t="str">
        <f t="shared" si="4"/>
        <v/>
      </c>
      <c r="L60" s="13" t="str">
        <f t="shared" si="5"/>
        <v/>
      </c>
      <c r="M60" s="25"/>
      <c r="N60" s="25"/>
      <c r="O60" s="22"/>
      <c r="P60" s="11" t="str">
        <f t="shared" si="6"/>
        <v/>
      </c>
      <c r="Q60" s="26"/>
      <c r="R60" s="22"/>
      <c r="S60" s="29" t="str">
        <f t="shared" si="7"/>
        <v/>
      </c>
      <c r="T60" s="12" t="str">
        <f t="shared" si="8"/>
        <v/>
      </c>
      <c r="U60" s="12" t="str">
        <f t="shared" si="9"/>
        <v/>
      </c>
      <c r="V60" s="12" t="str">
        <f>IF(AND($B60="",$C60=""),"",HLOOKUP(VLOOKUP($B$1,'Cidade-ER'!$A:$B,2,0),$AP$6:$BB60,ROW()-5,0))</f>
        <v/>
      </c>
      <c r="W60" s="12" t="str">
        <f t="shared" si="10"/>
        <v/>
      </c>
      <c r="X60" s="12" t="str">
        <f t="shared" si="11"/>
        <v/>
      </c>
      <c r="Y60" s="14" t="str">
        <f t="shared" si="12"/>
        <v/>
      </c>
      <c r="Z60" s="12" t="str">
        <f t="shared" si="13"/>
        <v/>
      </c>
      <c r="AA60" s="12" t="str">
        <f>IF(AND($B60="",$C60=""),"",(Sarjeta!$C$17^(5/3))*(Sarjeta!$C$16^(-2/3))*(ABS($K60)^0.5)/Sarjeta!$C$14*1000*2)</f>
        <v/>
      </c>
      <c r="AB60" s="12" t="str">
        <f>IF(AND($B60="",$C60=""),"",(Sarjeta!$C$17/Sarjeta!$C$16)^(2/3)*(ABS($K60)^0.5)/Sarjeta!$C$14)</f>
        <v/>
      </c>
      <c r="AC60" s="36" t="str">
        <f>IF(AND($B60="",$C60=""),"",IF(Z60&lt;AA60,0,MAX(ROUND(Z60/AA60,0)*2,ROUNDUP(ROUND(Z60/Sarjeta!$C$19,0)/2,0)*2)))</f>
        <v/>
      </c>
      <c r="AD60" s="26"/>
      <c r="AE60" s="27"/>
      <c r="AF60" s="32" t="str">
        <f>IF(OR($AE60="",AND($B60="",$C60="")),"",IF(ISERROR(VLOOKUP(AL60,Coeficientes!$A:$C,3,1)),0.05,VLOOKUP(AL60,Coeficientes!$A:$C,3,1)))</f>
        <v/>
      </c>
      <c r="AG60" s="12" t="str">
        <f t="shared" si="1"/>
        <v/>
      </c>
      <c r="AH60" s="30"/>
      <c r="AI60" s="31"/>
      <c r="AJ60" s="48" t="str">
        <f t="shared" si="14"/>
        <v/>
      </c>
      <c r="AK60" s="48" t="str">
        <f t="shared" si="15"/>
        <v/>
      </c>
      <c r="AL60" s="48" t="str">
        <f t="shared" si="16"/>
        <v/>
      </c>
      <c r="AM60" s="48" t="str">
        <f>IF(AND($B60="",$C60=""),"",VLOOKUP($AF60,Coeficientes!$C:$D,2,0))</f>
        <v/>
      </c>
      <c r="AN60" s="48" t="str">
        <f t="shared" si="17"/>
        <v/>
      </c>
      <c r="AO60" s="48" t="str">
        <f t="shared" si="18"/>
        <v/>
      </c>
      <c r="AP60" s="48" t="str">
        <f t="shared" si="19"/>
        <v/>
      </c>
      <c r="AQ60" s="48" t="str">
        <f t="shared" si="20"/>
        <v/>
      </c>
      <c r="AR60" s="48" t="str">
        <f t="shared" si="21"/>
        <v/>
      </c>
      <c r="AS60" s="48" t="str">
        <f t="shared" si="22"/>
        <v/>
      </c>
      <c r="AT60" s="48" t="str">
        <f t="shared" si="23"/>
        <v/>
      </c>
      <c r="AU60" s="48" t="str">
        <f t="shared" si="24"/>
        <v/>
      </c>
      <c r="AV60" s="48" t="str">
        <f t="shared" si="25"/>
        <v/>
      </c>
      <c r="AW60" s="48" t="str">
        <f t="shared" si="26"/>
        <v/>
      </c>
      <c r="AX60" s="48" t="str">
        <f t="shared" si="27"/>
        <v/>
      </c>
      <c r="AY60" s="48" t="str">
        <f t="shared" si="28"/>
        <v/>
      </c>
      <c r="AZ60" s="48" t="str">
        <f t="shared" si="29"/>
        <v/>
      </c>
      <c r="BA60" s="48" t="str">
        <f t="shared" si="30"/>
        <v/>
      </c>
      <c r="BB60" s="48" t="str">
        <f t="shared" si="31"/>
        <v/>
      </c>
    </row>
    <row r="61" spans="1:54" x14ac:dyDescent="0.2">
      <c r="A61" s="30"/>
      <c r="B61" s="23"/>
      <c r="C61" s="23"/>
      <c r="D61" s="24"/>
      <c r="E61" s="24"/>
      <c r="F61" s="24"/>
      <c r="G61" s="24"/>
      <c r="H61" s="10" t="str">
        <f t="shared" si="2"/>
        <v/>
      </c>
      <c r="I61" s="10" t="str">
        <f t="shared" si="3"/>
        <v/>
      </c>
      <c r="J61" s="24"/>
      <c r="K61" s="13" t="str">
        <f t="shared" si="4"/>
        <v/>
      </c>
      <c r="L61" s="13" t="str">
        <f t="shared" si="5"/>
        <v/>
      </c>
      <c r="M61" s="25"/>
      <c r="N61" s="25"/>
      <c r="O61" s="22"/>
      <c r="P61" s="11" t="str">
        <f t="shared" si="6"/>
        <v/>
      </c>
      <c r="Q61" s="26"/>
      <c r="R61" s="22"/>
      <c r="S61" s="29" t="str">
        <f t="shared" si="7"/>
        <v/>
      </c>
      <c r="T61" s="12" t="str">
        <f t="shared" si="8"/>
        <v/>
      </c>
      <c r="U61" s="12" t="str">
        <f t="shared" si="9"/>
        <v/>
      </c>
      <c r="V61" s="12" t="str">
        <f>IF(AND($B61="",$C61=""),"",HLOOKUP(VLOOKUP($B$1,'Cidade-ER'!$A:$B,2,0),$AP$6:$BB61,ROW()-5,0))</f>
        <v/>
      </c>
      <c r="W61" s="12" t="str">
        <f t="shared" si="10"/>
        <v/>
      </c>
      <c r="X61" s="12" t="str">
        <f t="shared" si="11"/>
        <v/>
      </c>
      <c r="Y61" s="14" t="str">
        <f t="shared" si="12"/>
        <v/>
      </c>
      <c r="Z61" s="12" t="str">
        <f t="shared" si="13"/>
        <v/>
      </c>
      <c r="AA61" s="12" t="str">
        <f>IF(AND($B61="",$C61=""),"",(Sarjeta!$C$17^(5/3))*(Sarjeta!$C$16^(-2/3))*(ABS($K61)^0.5)/Sarjeta!$C$14*1000*2)</f>
        <v/>
      </c>
      <c r="AB61" s="12" t="str">
        <f>IF(AND($B61="",$C61=""),"",(Sarjeta!$C$17/Sarjeta!$C$16)^(2/3)*(ABS($K61)^0.5)/Sarjeta!$C$14)</f>
        <v/>
      </c>
      <c r="AC61" s="36" t="str">
        <f>IF(AND($B61="",$C61=""),"",IF(Z61&lt;AA61,0,MAX(ROUND(Z61/AA61,0)*2,ROUNDUP(ROUND(Z61/Sarjeta!$C$19,0)/2,0)*2)))</f>
        <v/>
      </c>
      <c r="AD61" s="26"/>
      <c r="AE61" s="27"/>
      <c r="AF61" s="32" t="str">
        <f>IF(OR($AE61="",AND($B61="",$C61="")),"",IF(ISERROR(VLOOKUP(AL61,Coeficientes!$A:$C,3,1)),0.05,VLOOKUP(AL61,Coeficientes!$A:$C,3,1)))</f>
        <v/>
      </c>
      <c r="AG61" s="12" t="str">
        <f t="shared" si="1"/>
        <v/>
      </c>
      <c r="AH61" s="30"/>
      <c r="AI61" s="31"/>
      <c r="AJ61" s="48" t="str">
        <f t="shared" si="14"/>
        <v/>
      </c>
      <c r="AK61" s="48" t="str">
        <f t="shared" si="15"/>
        <v/>
      </c>
      <c r="AL61" s="48" t="str">
        <f t="shared" si="16"/>
        <v/>
      </c>
      <c r="AM61" s="48" t="str">
        <f>IF(AND($B61="",$C61=""),"",VLOOKUP($AF61,Coeficientes!$C:$D,2,0))</f>
        <v/>
      </c>
      <c r="AN61" s="48" t="str">
        <f t="shared" si="17"/>
        <v/>
      </c>
      <c r="AO61" s="48" t="str">
        <f t="shared" si="18"/>
        <v/>
      </c>
      <c r="AP61" s="48" t="str">
        <f t="shared" si="19"/>
        <v/>
      </c>
      <c r="AQ61" s="48" t="str">
        <f t="shared" si="20"/>
        <v/>
      </c>
      <c r="AR61" s="48" t="str">
        <f t="shared" si="21"/>
        <v/>
      </c>
      <c r="AS61" s="48" t="str">
        <f t="shared" si="22"/>
        <v/>
      </c>
      <c r="AT61" s="48" t="str">
        <f t="shared" si="23"/>
        <v/>
      </c>
      <c r="AU61" s="48" t="str">
        <f t="shared" si="24"/>
        <v/>
      </c>
      <c r="AV61" s="48" t="str">
        <f t="shared" si="25"/>
        <v/>
      </c>
      <c r="AW61" s="48" t="str">
        <f t="shared" si="26"/>
        <v/>
      </c>
      <c r="AX61" s="48" t="str">
        <f t="shared" si="27"/>
        <v/>
      </c>
      <c r="AY61" s="48" t="str">
        <f t="shared" si="28"/>
        <v/>
      </c>
      <c r="AZ61" s="48" t="str">
        <f t="shared" si="29"/>
        <v/>
      </c>
      <c r="BA61" s="48" t="str">
        <f t="shared" si="30"/>
        <v/>
      </c>
      <c r="BB61" s="48" t="str">
        <f t="shared" si="31"/>
        <v/>
      </c>
    </row>
    <row r="62" spans="1:54" x14ac:dyDescent="0.2">
      <c r="A62" s="30"/>
      <c r="B62" s="23"/>
      <c r="C62" s="23"/>
      <c r="D62" s="24"/>
      <c r="E62" s="24"/>
      <c r="F62" s="24"/>
      <c r="G62" s="24"/>
      <c r="H62" s="10" t="str">
        <f t="shared" si="2"/>
        <v/>
      </c>
      <c r="I62" s="10" t="str">
        <f t="shared" si="3"/>
        <v/>
      </c>
      <c r="J62" s="24"/>
      <c r="K62" s="13" t="str">
        <f t="shared" si="4"/>
        <v/>
      </c>
      <c r="L62" s="13" t="str">
        <f t="shared" si="5"/>
        <v/>
      </c>
      <c r="M62" s="25"/>
      <c r="N62" s="25"/>
      <c r="O62" s="22"/>
      <c r="P62" s="11" t="str">
        <f t="shared" si="6"/>
        <v/>
      </c>
      <c r="Q62" s="26"/>
      <c r="R62" s="22"/>
      <c r="S62" s="29" t="str">
        <f t="shared" si="7"/>
        <v/>
      </c>
      <c r="T62" s="12" t="str">
        <f t="shared" si="8"/>
        <v/>
      </c>
      <c r="U62" s="12" t="str">
        <f t="shared" si="9"/>
        <v/>
      </c>
      <c r="V62" s="12" t="str">
        <f>IF(AND($B62="",$C62=""),"",HLOOKUP(VLOOKUP($B$1,'Cidade-ER'!$A:$B,2,0),$AP$6:$BB62,ROW()-5,0))</f>
        <v/>
      </c>
      <c r="W62" s="12" t="str">
        <f t="shared" si="10"/>
        <v/>
      </c>
      <c r="X62" s="12" t="str">
        <f t="shared" si="11"/>
        <v/>
      </c>
      <c r="Y62" s="14" t="str">
        <f t="shared" si="12"/>
        <v/>
      </c>
      <c r="Z62" s="12" t="str">
        <f t="shared" si="13"/>
        <v/>
      </c>
      <c r="AA62" s="12" t="str">
        <f>IF(AND($B62="",$C62=""),"",(Sarjeta!$C$17^(5/3))*(Sarjeta!$C$16^(-2/3))*(ABS($K62)^0.5)/Sarjeta!$C$14*1000*2)</f>
        <v/>
      </c>
      <c r="AB62" s="12" t="str">
        <f>IF(AND($B62="",$C62=""),"",(Sarjeta!$C$17/Sarjeta!$C$16)^(2/3)*(ABS($K62)^0.5)/Sarjeta!$C$14)</f>
        <v/>
      </c>
      <c r="AC62" s="36" t="str">
        <f>IF(AND($B62="",$C62=""),"",IF(Z62&lt;AA62,0,MAX(ROUND(Z62/AA62,0)*2,ROUNDUP(ROUND(Z62/Sarjeta!$C$19,0)/2,0)*2)))</f>
        <v/>
      </c>
      <c r="AD62" s="26"/>
      <c r="AE62" s="27"/>
      <c r="AF62" s="32" t="str">
        <f>IF(OR($AE62="",AND($B62="",$C62="")),"",IF(ISERROR(VLOOKUP(AL62,Coeficientes!$A:$C,3,1)),0.05,VLOOKUP(AL62,Coeficientes!$A:$C,3,1)))</f>
        <v/>
      </c>
      <c r="AG62" s="12" t="str">
        <f t="shared" si="1"/>
        <v/>
      </c>
      <c r="AH62" s="30"/>
      <c r="AI62" s="31"/>
      <c r="AJ62" s="48" t="str">
        <f t="shared" si="14"/>
        <v/>
      </c>
      <c r="AK62" s="48" t="str">
        <f t="shared" si="15"/>
        <v/>
      </c>
      <c r="AL62" s="48" t="str">
        <f t="shared" si="16"/>
        <v/>
      </c>
      <c r="AM62" s="48" t="str">
        <f>IF(AND($B62="",$C62=""),"",VLOOKUP($AF62,Coeficientes!$C:$D,2,0))</f>
        <v/>
      </c>
      <c r="AN62" s="48" t="str">
        <f t="shared" si="17"/>
        <v/>
      </c>
      <c r="AO62" s="48" t="str">
        <f t="shared" si="18"/>
        <v/>
      </c>
      <c r="AP62" s="48" t="str">
        <f t="shared" si="19"/>
        <v/>
      </c>
      <c r="AQ62" s="48" t="str">
        <f t="shared" si="20"/>
        <v/>
      </c>
      <c r="AR62" s="48" t="str">
        <f t="shared" si="21"/>
        <v/>
      </c>
      <c r="AS62" s="48" t="str">
        <f t="shared" si="22"/>
        <v/>
      </c>
      <c r="AT62" s="48" t="str">
        <f t="shared" si="23"/>
        <v/>
      </c>
      <c r="AU62" s="48" t="str">
        <f t="shared" si="24"/>
        <v/>
      </c>
      <c r="AV62" s="48" t="str">
        <f t="shared" si="25"/>
        <v/>
      </c>
      <c r="AW62" s="48" t="str">
        <f t="shared" si="26"/>
        <v/>
      </c>
      <c r="AX62" s="48" t="str">
        <f t="shared" si="27"/>
        <v/>
      </c>
      <c r="AY62" s="48" t="str">
        <f t="shared" si="28"/>
        <v/>
      </c>
      <c r="AZ62" s="48" t="str">
        <f t="shared" si="29"/>
        <v/>
      </c>
      <c r="BA62" s="48" t="str">
        <f t="shared" si="30"/>
        <v/>
      </c>
      <c r="BB62" s="48" t="str">
        <f t="shared" si="31"/>
        <v/>
      </c>
    </row>
    <row r="63" spans="1:54" x14ac:dyDescent="0.2">
      <c r="A63" s="30"/>
      <c r="B63" s="23"/>
      <c r="C63" s="23"/>
      <c r="D63" s="24"/>
      <c r="E63" s="24"/>
      <c r="F63" s="24"/>
      <c r="G63" s="24"/>
      <c r="H63" s="10" t="str">
        <f t="shared" si="2"/>
        <v/>
      </c>
      <c r="I63" s="10" t="str">
        <f t="shared" si="3"/>
        <v/>
      </c>
      <c r="J63" s="24"/>
      <c r="K63" s="13" t="str">
        <f t="shared" si="4"/>
        <v/>
      </c>
      <c r="L63" s="13" t="str">
        <f t="shared" si="5"/>
        <v/>
      </c>
      <c r="M63" s="25"/>
      <c r="N63" s="25"/>
      <c r="O63" s="22"/>
      <c r="P63" s="11" t="str">
        <f t="shared" si="6"/>
        <v/>
      </c>
      <c r="Q63" s="26"/>
      <c r="R63" s="22"/>
      <c r="S63" s="29" t="str">
        <f t="shared" si="7"/>
        <v/>
      </c>
      <c r="T63" s="12" t="str">
        <f t="shared" si="8"/>
        <v/>
      </c>
      <c r="U63" s="12" t="str">
        <f t="shared" si="9"/>
        <v/>
      </c>
      <c r="V63" s="12" t="str">
        <f>IF(AND($B63="",$C63=""),"",HLOOKUP(VLOOKUP($B$1,'Cidade-ER'!$A:$B,2,0),$AP$6:$BB63,ROW()-5,0))</f>
        <v/>
      </c>
      <c r="W63" s="12" t="str">
        <f t="shared" si="10"/>
        <v/>
      </c>
      <c r="X63" s="12" t="str">
        <f t="shared" si="11"/>
        <v/>
      </c>
      <c r="Y63" s="14" t="str">
        <f t="shared" si="12"/>
        <v/>
      </c>
      <c r="Z63" s="12" t="str">
        <f t="shared" si="13"/>
        <v/>
      </c>
      <c r="AA63" s="12" t="str">
        <f>IF(AND($B63="",$C63=""),"",(Sarjeta!$C$17^(5/3))*(Sarjeta!$C$16^(-2/3))*(ABS($K63)^0.5)/Sarjeta!$C$14*1000*2)</f>
        <v/>
      </c>
      <c r="AB63" s="12" t="str">
        <f>IF(AND($B63="",$C63=""),"",(Sarjeta!$C$17/Sarjeta!$C$16)^(2/3)*(ABS($K63)^0.5)/Sarjeta!$C$14)</f>
        <v/>
      </c>
      <c r="AC63" s="36" t="str">
        <f>IF(AND($B63="",$C63=""),"",IF(Z63&lt;AA63,0,MAX(ROUND(Z63/AA63,0)*2,ROUNDUP(ROUND(Z63/Sarjeta!$C$19,0)/2,0)*2)))</f>
        <v/>
      </c>
      <c r="AD63" s="26"/>
      <c r="AE63" s="27"/>
      <c r="AF63" s="32" t="str">
        <f>IF(OR($AE63="",AND($B63="",$C63="")),"",IF(ISERROR(VLOOKUP(AL63,Coeficientes!$A:$C,3,1)),0.05,VLOOKUP(AL63,Coeficientes!$A:$C,3,1)))</f>
        <v/>
      </c>
      <c r="AG63" s="12" t="str">
        <f t="shared" si="1"/>
        <v/>
      </c>
      <c r="AH63" s="30"/>
      <c r="AI63" s="31"/>
      <c r="AJ63" s="48" t="str">
        <f t="shared" si="14"/>
        <v/>
      </c>
      <c r="AK63" s="48" t="str">
        <f t="shared" si="15"/>
        <v/>
      </c>
      <c r="AL63" s="48" t="str">
        <f t="shared" si="16"/>
        <v/>
      </c>
      <c r="AM63" s="48" t="str">
        <f>IF(AND($B63="",$C63=""),"",VLOOKUP($AF63,Coeficientes!$C:$D,2,0))</f>
        <v/>
      </c>
      <c r="AN63" s="48" t="str">
        <f t="shared" si="17"/>
        <v/>
      </c>
      <c r="AO63" s="48" t="str">
        <f t="shared" si="18"/>
        <v/>
      </c>
      <c r="AP63" s="48" t="str">
        <f t="shared" si="19"/>
        <v/>
      </c>
      <c r="AQ63" s="48" t="str">
        <f t="shared" si="20"/>
        <v/>
      </c>
      <c r="AR63" s="48" t="str">
        <f t="shared" si="21"/>
        <v/>
      </c>
      <c r="AS63" s="48" t="str">
        <f t="shared" si="22"/>
        <v/>
      </c>
      <c r="AT63" s="48" t="str">
        <f t="shared" si="23"/>
        <v/>
      </c>
      <c r="AU63" s="48" t="str">
        <f t="shared" si="24"/>
        <v/>
      </c>
      <c r="AV63" s="48" t="str">
        <f t="shared" si="25"/>
        <v/>
      </c>
      <c r="AW63" s="48" t="str">
        <f t="shared" si="26"/>
        <v/>
      </c>
      <c r="AX63" s="48" t="str">
        <f t="shared" si="27"/>
        <v/>
      </c>
      <c r="AY63" s="48" t="str">
        <f t="shared" si="28"/>
        <v/>
      </c>
      <c r="AZ63" s="48" t="str">
        <f t="shared" si="29"/>
        <v/>
      </c>
      <c r="BA63" s="48" t="str">
        <f t="shared" si="30"/>
        <v/>
      </c>
      <c r="BB63" s="48" t="str">
        <f t="shared" si="31"/>
        <v/>
      </c>
    </row>
    <row r="64" spans="1:54" x14ac:dyDescent="0.2">
      <c r="A64" s="30"/>
      <c r="B64" s="23"/>
      <c r="C64" s="23"/>
      <c r="D64" s="24"/>
      <c r="E64" s="24"/>
      <c r="F64" s="24"/>
      <c r="G64" s="24"/>
      <c r="H64" s="10" t="str">
        <f t="shared" si="2"/>
        <v/>
      </c>
      <c r="I64" s="10" t="str">
        <f t="shared" si="3"/>
        <v/>
      </c>
      <c r="J64" s="24"/>
      <c r="K64" s="13" t="str">
        <f t="shared" si="4"/>
        <v/>
      </c>
      <c r="L64" s="13" t="str">
        <f t="shared" si="5"/>
        <v/>
      </c>
      <c r="M64" s="25"/>
      <c r="N64" s="25"/>
      <c r="O64" s="22"/>
      <c r="P64" s="11" t="str">
        <f t="shared" si="6"/>
        <v/>
      </c>
      <c r="Q64" s="26"/>
      <c r="R64" s="22"/>
      <c r="S64" s="29" t="str">
        <f t="shared" si="7"/>
        <v/>
      </c>
      <c r="T64" s="12" t="str">
        <f t="shared" si="8"/>
        <v/>
      </c>
      <c r="U64" s="12" t="str">
        <f t="shared" si="9"/>
        <v/>
      </c>
      <c r="V64" s="12" t="str">
        <f>IF(AND($B64="",$C64=""),"",HLOOKUP(VLOOKUP($B$1,'Cidade-ER'!$A:$B,2,0),$AP$6:$BB64,ROW()-5,0))</f>
        <v/>
      </c>
      <c r="W64" s="12" t="str">
        <f t="shared" si="10"/>
        <v/>
      </c>
      <c r="X64" s="12" t="str">
        <f t="shared" si="11"/>
        <v/>
      </c>
      <c r="Y64" s="14" t="str">
        <f t="shared" si="12"/>
        <v/>
      </c>
      <c r="Z64" s="12" t="str">
        <f t="shared" si="13"/>
        <v/>
      </c>
      <c r="AA64" s="12" t="str">
        <f>IF(AND($B64="",$C64=""),"",(Sarjeta!$C$17^(5/3))*(Sarjeta!$C$16^(-2/3))*(ABS($K64)^0.5)/Sarjeta!$C$14*1000*2)</f>
        <v/>
      </c>
      <c r="AB64" s="12" t="str">
        <f>IF(AND($B64="",$C64=""),"",(Sarjeta!$C$17/Sarjeta!$C$16)^(2/3)*(ABS($K64)^0.5)/Sarjeta!$C$14)</f>
        <v/>
      </c>
      <c r="AC64" s="36" t="str">
        <f>IF(AND($B64="",$C64=""),"",IF(Z64&lt;AA64,0,MAX(ROUND(Z64/AA64,0)*2,ROUNDUP(ROUND(Z64/Sarjeta!$C$19,0)/2,0)*2)))</f>
        <v/>
      </c>
      <c r="AD64" s="26"/>
      <c r="AE64" s="27"/>
      <c r="AF64" s="32" t="str">
        <f>IF(OR($AE64="",AND($B64="",$C64="")),"",IF(ISERROR(VLOOKUP(AL64,Coeficientes!$A:$C,3,1)),0.05,VLOOKUP(AL64,Coeficientes!$A:$C,3,1)))</f>
        <v/>
      </c>
      <c r="AG64" s="12" t="str">
        <f t="shared" si="1"/>
        <v/>
      </c>
      <c r="AH64" s="30"/>
      <c r="AI64" s="31"/>
      <c r="AJ64" s="48" t="str">
        <f t="shared" si="14"/>
        <v/>
      </c>
      <c r="AK64" s="48" t="str">
        <f t="shared" si="15"/>
        <v/>
      </c>
      <c r="AL64" s="48" t="str">
        <f t="shared" si="16"/>
        <v/>
      </c>
      <c r="AM64" s="48" t="str">
        <f>IF(AND($B64="",$C64=""),"",VLOOKUP($AF64,Coeficientes!$C:$D,2,0))</f>
        <v/>
      </c>
      <c r="AN64" s="48" t="str">
        <f t="shared" si="17"/>
        <v/>
      </c>
      <c r="AO64" s="48" t="str">
        <f t="shared" si="18"/>
        <v/>
      </c>
      <c r="AP64" s="48" t="str">
        <f t="shared" si="19"/>
        <v/>
      </c>
      <c r="AQ64" s="48" t="str">
        <f t="shared" si="20"/>
        <v/>
      </c>
      <c r="AR64" s="48" t="str">
        <f t="shared" si="21"/>
        <v/>
      </c>
      <c r="AS64" s="48" t="str">
        <f t="shared" si="22"/>
        <v/>
      </c>
      <c r="AT64" s="48" t="str">
        <f t="shared" si="23"/>
        <v/>
      </c>
      <c r="AU64" s="48" t="str">
        <f t="shared" si="24"/>
        <v/>
      </c>
      <c r="AV64" s="48" t="str">
        <f t="shared" si="25"/>
        <v/>
      </c>
      <c r="AW64" s="48" t="str">
        <f t="shared" si="26"/>
        <v/>
      </c>
      <c r="AX64" s="48" t="str">
        <f t="shared" si="27"/>
        <v/>
      </c>
      <c r="AY64" s="48" t="str">
        <f t="shared" si="28"/>
        <v/>
      </c>
      <c r="AZ64" s="48" t="str">
        <f t="shared" si="29"/>
        <v/>
      </c>
      <c r="BA64" s="48" t="str">
        <f t="shared" si="30"/>
        <v/>
      </c>
      <c r="BB64" s="48" t="str">
        <f t="shared" si="31"/>
        <v/>
      </c>
    </row>
    <row r="65" spans="1:54" x14ac:dyDescent="0.2">
      <c r="A65" s="30"/>
      <c r="B65" s="23"/>
      <c r="C65" s="23"/>
      <c r="D65" s="24"/>
      <c r="E65" s="24"/>
      <c r="F65" s="24"/>
      <c r="G65" s="24"/>
      <c r="H65" s="10" t="str">
        <f t="shared" si="2"/>
        <v/>
      </c>
      <c r="I65" s="10" t="str">
        <f t="shared" si="3"/>
        <v/>
      </c>
      <c r="J65" s="24"/>
      <c r="K65" s="13" t="str">
        <f t="shared" si="4"/>
        <v/>
      </c>
      <c r="L65" s="13" t="str">
        <f t="shared" si="5"/>
        <v/>
      </c>
      <c r="M65" s="25"/>
      <c r="N65" s="25"/>
      <c r="O65" s="22"/>
      <c r="P65" s="11" t="str">
        <f t="shared" si="6"/>
        <v/>
      </c>
      <c r="Q65" s="26"/>
      <c r="R65" s="22"/>
      <c r="S65" s="29" t="str">
        <f t="shared" si="7"/>
        <v/>
      </c>
      <c r="T65" s="12" t="str">
        <f t="shared" si="8"/>
        <v/>
      </c>
      <c r="U65" s="12" t="str">
        <f t="shared" si="9"/>
        <v/>
      </c>
      <c r="V65" s="12" t="str">
        <f>IF(AND($B65="",$C65=""),"",HLOOKUP(VLOOKUP($B$1,'Cidade-ER'!$A:$B,2,0),$AP$6:$BB65,ROW()-5,0))</f>
        <v/>
      </c>
      <c r="W65" s="12" t="str">
        <f t="shared" si="10"/>
        <v/>
      </c>
      <c r="X65" s="12" t="str">
        <f t="shared" si="11"/>
        <v/>
      </c>
      <c r="Y65" s="14" t="str">
        <f t="shared" si="12"/>
        <v/>
      </c>
      <c r="Z65" s="12" t="str">
        <f t="shared" si="13"/>
        <v/>
      </c>
      <c r="AA65" s="12" t="str">
        <f>IF(AND($B65="",$C65=""),"",(Sarjeta!$C$17^(5/3))*(Sarjeta!$C$16^(-2/3))*(ABS($K65)^0.5)/Sarjeta!$C$14*1000*2)</f>
        <v/>
      </c>
      <c r="AB65" s="12" t="str">
        <f>IF(AND($B65="",$C65=""),"",(Sarjeta!$C$17/Sarjeta!$C$16)^(2/3)*(ABS($K65)^0.5)/Sarjeta!$C$14)</f>
        <v/>
      </c>
      <c r="AC65" s="36" t="str">
        <f>IF(AND($B65="",$C65=""),"",IF(Z65&lt;AA65,0,MAX(ROUND(Z65/AA65,0)*2,ROUNDUP(ROUND(Z65/Sarjeta!$C$19,0)/2,0)*2)))</f>
        <v/>
      </c>
      <c r="AD65" s="26"/>
      <c r="AE65" s="27"/>
      <c r="AF65" s="32" t="str">
        <f>IF(OR($AE65="",AND($B65="",$C65="")),"",IF(ISERROR(VLOOKUP(AL65,Coeficientes!$A:$C,3,1)),0.05,VLOOKUP(AL65,Coeficientes!$A:$C,3,1)))</f>
        <v/>
      </c>
      <c r="AG65" s="12" t="str">
        <f t="shared" si="1"/>
        <v/>
      </c>
      <c r="AH65" s="30"/>
      <c r="AI65" s="31"/>
      <c r="AJ65" s="48" t="str">
        <f t="shared" si="14"/>
        <v/>
      </c>
      <c r="AK65" s="48" t="str">
        <f t="shared" si="15"/>
        <v/>
      </c>
      <c r="AL65" s="48" t="str">
        <f t="shared" si="16"/>
        <v/>
      </c>
      <c r="AM65" s="48" t="str">
        <f>IF(AND($B65="",$C65=""),"",VLOOKUP($AF65,Coeficientes!$C:$D,2,0))</f>
        <v/>
      </c>
      <c r="AN65" s="48" t="str">
        <f t="shared" si="17"/>
        <v/>
      </c>
      <c r="AO65" s="48" t="str">
        <f t="shared" si="18"/>
        <v/>
      </c>
      <c r="AP65" s="48" t="str">
        <f t="shared" si="19"/>
        <v/>
      </c>
      <c r="AQ65" s="48" t="str">
        <f t="shared" si="20"/>
        <v/>
      </c>
      <c r="AR65" s="48" t="str">
        <f t="shared" si="21"/>
        <v/>
      </c>
      <c r="AS65" s="48" t="str">
        <f t="shared" si="22"/>
        <v/>
      </c>
      <c r="AT65" s="48" t="str">
        <f t="shared" si="23"/>
        <v/>
      </c>
      <c r="AU65" s="48" t="str">
        <f t="shared" si="24"/>
        <v/>
      </c>
      <c r="AV65" s="48" t="str">
        <f t="shared" si="25"/>
        <v/>
      </c>
      <c r="AW65" s="48" t="str">
        <f t="shared" si="26"/>
        <v/>
      </c>
      <c r="AX65" s="48" t="str">
        <f t="shared" si="27"/>
        <v/>
      </c>
      <c r="AY65" s="48" t="str">
        <f t="shared" si="28"/>
        <v/>
      </c>
      <c r="AZ65" s="48" t="str">
        <f t="shared" si="29"/>
        <v/>
      </c>
      <c r="BA65" s="48" t="str">
        <f t="shared" si="30"/>
        <v/>
      </c>
      <c r="BB65" s="48" t="str">
        <f t="shared" si="31"/>
        <v/>
      </c>
    </row>
    <row r="66" spans="1:54" x14ac:dyDescent="0.2">
      <c r="A66" s="30"/>
      <c r="B66" s="23"/>
      <c r="C66" s="23"/>
      <c r="D66" s="24"/>
      <c r="E66" s="24"/>
      <c r="F66" s="24"/>
      <c r="G66" s="24"/>
      <c r="H66" s="10" t="str">
        <f t="shared" si="2"/>
        <v/>
      </c>
      <c r="I66" s="10" t="str">
        <f t="shared" si="3"/>
        <v/>
      </c>
      <c r="J66" s="24"/>
      <c r="K66" s="13" t="str">
        <f t="shared" si="4"/>
        <v/>
      </c>
      <c r="L66" s="13" t="str">
        <f t="shared" si="5"/>
        <v/>
      </c>
      <c r="M66" s="25"/>
      <c r="N66" s="25"/>
      <c r="O66" s="22"/>
      <c r="P66" s="11" t="str">
        <f t="shared" si="6"/>
        <v/>
      </c>
      <c r="Q66" s="26"/>
      <c r="R66" s="22"/>
      <c r="S66" s="29" t="str">
        <f t="shared" si="7"/>
        <v/>
      </c>
      <c r="T66" s="12" t="str">
        <f t="shared" si="8"/>
        <v/>
      </c>
      <c r="U66" s="12" t="str">
        <f t="shared" si="9"/>
        <v/>
      </c>
      <c r="V66" s="12" t="str">
        <f>IF(AND($B66="",$C66=""),"",HLOOKUP(VLOOKUP($B$1,'Cidade-ER'!$A:$B,2,0),$AP$6:$BB66,ROW()-5,0))</f>
        <v/>
      </c>
      <c r="W66" s="12" t="str">
        <f t="shared" si="10"/>
        <v/>
      </c>
      <c r="X66" s="12" t="str">
        <f t="shared" si="11"/>
        <v/>
      </c>
      <c r="Y66" s="14" t="str">
        <f t="shared" si="12"/>
        <v/>
      </c>
      <c r="Z66" s="12" t="str">
        <f t="shared" si="13"/>
        <v/>
      </c>
      <c r="AA66" s="12" t="str">
        <f>IF(AND($B66="",$C66=""),"",(Sarjeta!$C$17^(5/3))*(Sarjeta!$C$16^(-2/3))*(ABS($K66)^0.5)/Sarjeta!$C$14*1000*2)</f>
        <v/>
      </c>
      <c r="AB66" s="12" t="str">
        <f>IF(AND($B66="",$C66=""),"",(Sarjeta!$C$17/Sarjeta!$C$16)^(2/3)*(ABS($K66)^0.5)/Sarjeta!$C$14)</f>
        <v/>
      </c>
      <c r="AC66" s="36" t="str">
        <f>IF(AND($B66="",$C66=""),"",IF(Z66&lt;AA66,0,MAX(ROUND(Z66/AA66,0)*2,ROUNDUP(ROUND(Z66/Sarjeta!$C$19,0)/2,0)*2)))</f>
        <v/>
      </c>
      <c r="AD66" s="26"/>
      <c r="AE66" s="27"/>
      <c r="AF66" s="32" t="str">
        <f>IF(OR($AE66="",AND($B66="",$C66="")),"",IF(ISERROR(VLOOKUP(AL66,Coeficientes!$A:$C,3,1)),0.05,VLOOKUP(AL66,Coeficientes!$A:$C,3,1)))</f>
        <v/>
      </c>
      <c r="AG66" s="12" t="str">
        <f t="shared" si="1"/>
        <v/>
      </c>
      <c r="AH66" s="30"/>
      <c r="AI66" s="31"/>
      <c r="AJ66" s="48" t="str">
        <f t="shared" si="14"/>
        <v/>
      </c>
      <c r="AK66" s="48" t="str">
        <f t="shared" si="15"/>
        <v/>
      </c>
      <c r="AL66" s="48" t="str">
        <f t="shared" si="16"/>
        <v/>
      </c>
      <c r="AM66" s="48" t="str">
        <f>IF(AND($B66="",$C66=""),"",VLOOKUP($AF66,Coeficientes!$C:$D,2,0))</f>
        <v/>
      </c>
      <c r="AN66" s="48" t="str">
        <f t="shared" si="17"/>
        <v/>
      </c>
      <c r="AO66" s="48" t="str">
        <f t="shared" si="18"/>
        <v/>
      </c>
      <c r="AP66" s="48" t="str">
        <f t="shared" si="19"/>
        <v/>
      </c>
      <c r="AQ66" s="48" t="str">
        <f t="shared" si="20"/>
        <v/>
      </c>
      <c r="AR66" s="48" t="str">
        <f t="shared" si="21"/>
        <v/>
      </c>
      <c r="AS66" s="48" t="str">
        <f t="shared" si="22"/>
        <v/>
      </c>
      <c r="AT66" s="48" t="str">
        <f t="shared" si="23"/>
        <v/>
      </c>
      <c r="AU66" s="48" t="str">
        <f t="shared" si="24"/>
        <v/>
      </c>
      <c r="AV66" s="48" t="str">
        <f t="shared" si="25"/>
        <v/>
      </c>
      <c r="AW66" s="48" t="str">
        <f t="shared" si="26"/>
        <v/>
      </c>
      <c r="AX66" s="48" t="str">
        <f t="shared" si="27"/>
        <v/>
      </c>
      <c r="AY66" s="48" t="str">
        <f t="shared" si="28"/>
        <v/>
      </c>
      <c r="AZ66" s="48" t="str">
        <f t="shared" si="29"/>
        <v/>
      </c>
      <c r="BA66" s="48" t="str">
        <f t="shared" si="30"/>
        <v/>
      </c>
      <c r="BB66" s="48" t="str">
        <f t="shared" si="31"/>
        <v/>
      </c>
    </row>
    <row r="67" spans="1:54" x14ac:dyDescent="0.2">
      <c r="A67" s="30"/>
      <c r="B67" s="23"/>
      <c r="C67" s="23"/>
      <c r="D67" s="24"/>
      <c r="E67" s="24"/>
      <c r="F67" s="24"/>
      <c r="G67" s="24"/>
      <c r="H67" s="10" t="str">
        <f t="shared" si="2"/>
        <v/>
      </c>
      <c r="I67" s="10" t="str">
        <f t="shared" si="3"/>
        <v/>
      </c>
      <c r="J67" s="24"/>
      <c r="K67" s="13" t="str">
        <f t="shared" si="4"/>
        <v/>
      </c>
      <c r="L67" s="13" t="str">
        <f t="shared" si="5"/>
        <v/>
      </c>
      <c r="M67" s="25"/>
      <c r="N67" s="25"/>
      <c r="O67" s="22"/>
      <c r="P67" s="11" t="str">
        <f t="shared" si="6"/>
        <v/>
      </c>
      <c r="Q67" s="26"/>
      <c r="R67" s="22"/>
      <c r="S67" s="29" t="str">
        <f t="shared" si="7"/>
        <v/>
      </c>
      <c r="T67" s="12" t="str">
        <f t="shared" si="8"/>
        <v/>
      </c>
      <c r="U67" s="12" t="str">
        <f t="shared" si="9"/>
        <v/>
      </c>
      <c r="V67" s="12" t="str">
        <f>IF(AND($B67="",$C67=""),"",HLOOKUP(VLOOKUP($B$1,'Cidade-ER'!$A:$B,2,0),$AP$6:$BB67,ROW()-5,0))</f>
        <v/>
      </c>
      <c r="W67" s="12" t="str">
        <f t="shared" si="10"/>
        <v/>
      </c>
      <c r="X67" s="12" t="str">
        <f t="shared" si="11"/>
        <v/>
      </c>
      <c r="Y67" s="14" t="str">
        <f t="shared" si="12"/>
        <v/>
      </c>
      <c r="Z67" s="12" t="str">
        <f t="shared" si="13"/>
        <v/>
      </c>
      <c r="AA67" s="12" t="str">
        <f>IF(AND($B67="",$C67=""),"",(Sarjeta!$C$17^(5/3))*(Sarjeta!$C$16^(-2/3))*(ABS($K67)^0.5)/Sarjeta!$C$14*1000*2)</f>
        <v/>
      </c>
      <c r="AB67" s="12" t="str">
        <f>IF(AND($B67="",$C67=""),"",(Sarjeta!$C$17/Sarjeta!$C$16)^(2/3)*(ABS($K67)^0.5)/Sarjeta!$C$14)</f>
        <v/>
      </c>
      <c r="AC67" s="36" t="str">
        <f>IF(AND($B67="",$C67=""),"",IF(Z67&lt;AA67,0,MAX(ROUND(Z67/AA67,0)*2,ROUNDUP(ROUND(Z67/Sarjeta!$C$19,0)/2,0)*2)))</f>
        <v/>
      </c>
      <c r="AD67" s="26"/>
      <c r="AE67" s="27"/>
      <c r="AF67" s="32" t="str">
        <f>IF(OR($AE67="",AND($B67="",$C67="")),"",IF(ISERROR(VLOOKUP(AL67,Coeficientes!$A:$C,3,1)),0.05,VLOOKUP(AL67,Coeficientes!$A:$C,3,1)))</f>
        <v/>
      </c>
      <c r="AG67" s="12" t="str">
        <f t="shared" si="1"/>
        <v/>
      </c>
      <c r="AH67" s="30"/>
      <c r="AI67" s="31"/>
      <c r="AJ67" s="48" t="str">
        <f t="shared" si="14"/>
        <v/>
      </c>
      <c r="AK67" s="48" t="str">
        <f t="shared" si="15"/>
        <v/>
      </c>
      <c r="AL67" s="48" t="str">
        <f t="shared" si="16"/>
        <v/>
      </c>
      <c r="AM67" s="48" t="str">
        <f>IF(AND($B67="",$C67=""),"",VLOOKUP($AF67,Coeficientes!$C:$D,2,0))</f>
        <v/>
      </c>
      <c r="AN67" s="48" t="str">
        <f t="shared" si="17"/>
        <v/>
      </c>
      <c r="AO67" s="48" t="str">
        <f t="shared" si="18"/>
        <v/>
      </c>
      <c r="AP67" s="48" t="str">
        <f t="shared" si="19"/>
        <v/>
      </c>
      <c r="AQ67" s="48" t="str">
        <f t="shared" si="20"/>
        <v/>
      </c>
      <c r="AR67" s="48" t="str">
        <f t="shared" si="21"/>
        <v/>
      </c>
      <c r="AS67" s="48" t="str">
        <f t="shared" si="22"/>
        <v/>
      </c>
      <c r="AT67" s="48" t="str">
        <f t="shared" si="23"/>
        <v/>
      </c>
      <c r="AU67" s="48" t="str">
        <f t="shared" si="24"/>
        <v/>
      </c>
      <c r="AV67" s="48" t="str">
        <f t="shared" si="25"/>
        <v/>
      </c>
      <c r="AW67" s="48" t="str">
        <f t="shared" si="26"/>
        <v/>
      </c>
      <c r="AX67" s="48" t="str">
        <f t="shared" si="27"/>
        <v/>
      </c>
      <c r="AY67" s="48" t="str">
        <f t="shared" si="28"/>
        <v/>
      </c>
      <c r="AZ67" s="48" t="str">
        <f t="shared" si="29"/>
        <v/>
      </c>
      <c r="BA67" s="48" t="str">
        <f t="shared" si="30"/>
        <v/>
      </c>
      <c r="BB67" s="48" t="str">
        <f t="shared" si="31"/>
        <v/>
      </c>
    </row>
    <row r="68" spans="1:54" x14ac:dyDescent="0.2">
      <c r="A68" s="30"/>
      <c r="B68" s="23"/>
      <c r="C68" s="23"/>
      <c r="D68" s="24"/>
      <c r="E68" s="24"/>
      <c r="F68" s="24"/>
      <c r="G68" s="24"/>
      <c r="H68" s="10" t="str">
        <f t="shared" si="2"/>
        <v/>
      </c>
      <c r="I68" s="10" t="str">
        <f t="shared" si="3"/>
        <v/>
      </c>
      <c r="J68" s="24"/>
      <c r="K68" s="13" t="str">
        <f t="shared" si="4"/>
        <v/>
      </c>
      <c r="L68" s="13" t="str">
        <f t="shared" si="5"/>
        <v/>
      </c>
      <c r="M68" s="25"/>
      <c r="N68" s="25"/>
      <c r="O68" s="22"/>
      <c r="P68" s="11" t="str">
        <f t="shared" si="6"/>
        <v/>
      </c>
      <c r="Q68" s="26"/>
      <c r="R68" s="22"/>
      <c r="S68" s="29" t="str">
        <f t="shared" si="7"/>
        <v/>
      </c>
      <c r="T68" s="12" t="str">
        <f t="shared" si="8"/>
        <v/>
      </c>
      <c r="U68" s="12" t="str">
        <f t="shared" si="9"/>
        <v/>
      </c>
      <c r="V68" s="12" t="str">
        <f>IF(AND($B68="",$C68=""),"",HLOOKUP(VLOOKUP($B$1,'Cidade-ER'!$A:$B,2,0),$AP$6:$BB68,ROW()-5,0))</f>
        <v/>
      </c>
      <c r="W68" s="12" t="str">
        <f t="shared" si="10"/>
        <v/>
      </c>
      <c r="X68" s="12" t="str">
        <f t="shared" si="11"/>
        <v/>
      </c>
      <c r="Y68" s="14" t="str">
        <f t="shared" si="12"/>
        <v/>
      </c>
      <c r="Z68" s="12" t="str">
        <f t="shared" si="13"/>
        <v/>
      </c>
      <c r="AA68" s="12" t="str">
        <f>IF(AND($B68="",$C68=""),"",(Sarjeta!$C$17^(5/3))*(Sarjeta!$C$16^(-2/3))*(ABS($K68)^0.5)/Sarjeta!$C$14*1000*2)</f>
        <v/>
      </c>
      <c r="AB68" s="12" t="str">
        <f>IF(AND($B68="",$C68=""),"",(Sarjeta!$C$17/Sarjeta!$C$16)^(2/3)*(ABS($K68)^0.5)/Sarjeta!$C$14)</f>
        <v/>
      </c>
      <c r="AC68" s="36" t="str">
        <f>IF(AND($B68="",$C68=""),"",IF(Z68&lt;AA68,0,MAX(ROUND(Z68/AA68,0)*2,ROUNDUP(ROUND(Z68/Sarjeta!$C$19,0)/2,0)*2)))</f>
        <v/>
      </c>
      <c r="AD68" s="26"/>
      <c r="AE68" s="27"/>
      <c r="AF68" s="32" t="str">
        <f>IF(OR($AE68="",AND($B68="",$C68="")),"",IF(ISERROR(VLOOKUP(AL68,Coeficientes!$A:$C,3,1)),0.05,VLOOKUP(AL68,Coeficientes!$A:$C,3,1)))</f>
        <v/>
      </c>
      <c r="AG68" s="12" t="str">
        <f t="shared" si="1"/>
        <v/>
      </c>
      <c r="AH68" s="30"/>
      <c r="AI68" s="31"/>
      <c r="AJ68" s="48" t="str">
        <f t="shared" si="14"/>
        <v/>
      </c>
      <c r="AK68" s="48" t="str">
        <f t="shared" si="15"/>
        <v/>
      </c>
      <c r="AL68" s="48" t="str">
        <f t="shared" si="16"/>
        <v/>
      </c>
      <c r="AM68" s="48" t="str">
        <f>IF(AND($B68="",$C68=""),"",VLOOKUP($AF68,Coeficientes!$C:$D,2,0))</f>
        <v/>
      </c>
      <c r="AN68" s="48" t="str">
        <f t="shared" si="17"/>
        <v/>
      </c>
      <c r="AO68" s="48" t="str">
        <f t="shared" si="18"/>
        <v/>
      </c>
      <c r="AP68" s="48" t="str">
        <f t="shared" si="19"/>
        <v/>
      </c>
      <c r="AQ68" s="48" t="str">
        <f t="shared" si="20"/>
        <v/>
      </c>
      <c r="AR68" s="48" t="str">
        <f t="shared" si="21"/>
        <v/>
      </c>
      <c r="AS68" s="48" t="str">
        <f t="shared" si="22"/>
        <v/>
      </c>
      <c r="AT68" s="48" t="str">
        <f t="shared" si="23"/>
        <v/>
      </c>
      <c r="AU68" s="48" t="str">
        <f t="shared" si="24"/>
        <v/>
      </c>
      <c r="AV68" s="48" t="str">
        <f t="shared" si="25"/>
        <v/>
      </c>
      <c r="AW68" s="48" t="str">
        <f t="shared" si="26"/>
        <v/>
      </c>
      <c r="AX68" s="48" t="str">
        <f t="shared" si="27"/>
        <v/>
      </c>
      <c r="AY68" s="48" t="str">
        <f t="shared" si="28"/>
        <v/>
      </c>
      <c r="AZ68" s="48" t="str">
        <f t="shared" si="29"/>
        <v/>
      </c>
      <c r="BA68" s="48" t="str">
        <f t="shared" si="30"/>
        <v/>
      </c>
      <c r="BB68" s="48" t="str">
        <f t="shared" si="31"/>
        <v/>
      </c>
    </row>
    <row r="69" spans="1:54" x14ac:dyDescent="0.2">
      <c r="A69" s="30"/>
      <c r="B69" s="23"/>
      <c r="C69" s="23"/>
      <c r="D69" s="24"/>
      <c r="E69" s="24"/>
      <c r="F69" s="24"/>
      <c r="G69" s="24"/>
      <c r="H69" s="10" t="str">
        <f t="shared" si="2"/>
        <v/>
      </c>
      <c r="I69" s="10" t="str">
        <f t="shared" si="3"/>
        <v/>
      </c>
      <c r="J69" s="24"/>
      <c r="K69" s="13" t="str">
        <f t="shared" si="4"/>
        <v/>
      </c>
      <c r="L69" s="13" t="str">
        <f t="shared" si="5"/>
        <v/>
      </c>
      <c r="M69" s="25"/>
      <c r="N69" s="25"/>
      <c r="O69" s="22"/>
      <c r="P69" s="11" t="str">
        <f t="shared" si="6"/>
        <v/>
      </c>
      <c r="Q69" s="26"/>
      <c r="R69" s="22"/>
      <c r="S69" s="29" t="str">
        <f t="shared" si="7"/>
        <v/>
      </c>
      <c r="T69" s="12" t="str">
        <f t="shared" si="8"/>
        <v/>
      </c>
      <c r="U69" s="12" t="str">
        <f t="shared" si="9"/>
        <v/>
      </c>
      <c r="V69" s="12" t="str">
        <f>IF(AND($B69="",$C69=""),"",HLOOKUP(VLOOKUP($B$1,'Cidade-ER'!$A:$B,2,0),$AP$6:$BB69,ROW()-5,0))</f>
        <v/>
      </c>
      <c r="W69" s="12" t="str">
        <f t="shared" si="10"/>
        <v/>
      </c>
      <c r="X69" s="12" t="str">
        <f t="shared" si="11"/>
        <v/>
      </c>
      <c r="Y69" s="14" t="str">
        <f t="shared" si="12"/>
        <v/>
      </c>
      <c r="Z69" s="12" t="str">
        <f t="shared" si="13"/>
        <v/>
      </c>
      <c r="AA69" s="12" t="str">
        <f>IF(AND($B69="",$C69=""),"",(Sarjeta!$C$17^(5/3))*(Sarjeta!$C$16^(-2/3))*(ABS($K69)^0.5)/Sarjeta!$C$14*1000*2)</f>
        <v/>
      </c>
      <c r="AB69" s="12" t="str">
        <f>IF(AND($B69="",$C69=""),"",(Sarjeta!$C$17/Sarjeta!$C$16)^(2/3)*(ABS($K69)^0.5)/Sarjeta!$C$14)</f>
        <v/>
      </c>
      <c r="AC69" s="36" t="str">
        <f>IF(AND($B69="",$C69=""),"",IF(Z69&lt;AA69,0,MAX(ROUND(Z69/AA69,0)*2,ROUNDUP(ROUND(Z69/Sarjeta!$C$19,0)/2,0)*2)))</f>
        <v/>
      </c>
      <c r="AD69" s="26"/>
      <c r="AE69" s="27"/>
      <c r="AF69" s="32" t="str">
        <f>IF(OR($AE69="",AND($B69="",$C69="")),"",IF(ISERROR(VLOOKUP(AL69,Coeficientes!$A:$C,3,1)),0.05,VLOOKUP(AL69,Coeficientes!$A:$C,3,1)))</f>
        <v/>
      </c>
      <c r="AG69" s="12" t="str">
        <f t="shared" si="1"/>
        <v/>
      </c>
      <c r="AH69" s="30"/>
      <c r="AI69" s="31"/>
      <c r="AJ69" s="48" t="str">
        <f t="shared" si="14"/>
        <v/>
      </c>
      <c r="AK69" s="48" t="str">
        <f t="shared" si="15"/>
        <v/>
      </c>
      <c r="AL69" s="48" t="str">
        <f t="shared" si="16"/>
        <v/>
      </c>
      <c r="AM69" s="48" t="str">
        <f>IF(AND($B69="",$C69=""),"",VLOOKUP($AF69,Coeficientes!$C:$D,2,0))</f>
        <v/>
      </c>
      <c r="AN69" s="48" t="str">
        <f t="shared" si="17"/>
        <v/>
      </c>
      <c r="AO69" s="48" t="str">
        <f t="shared" si="18"/>
        <v/>
      </c>
      <c r="AP69" s="48" t="str">
        <f t="shared" si="19"/>
        <v/>
      </c>
      <c r="AQ69" s="48" t="str">
        <f t="shared" si="20"/>
        <v/>
      </c>
      <c r="AR69" s="48" t="str">
        <f t="shared" si="21"/>
        <v/>
      </c>
      <c r="AS69" s="48" t="str">
        <f t="shared" si="22"/>
        <v/>
      </c>
      <c r="AT69" s="48" t="str">
        <f t="shared" si="23"/>
        <v/>
      </c>
      <c r="AU69" s="48" t="str">
        <f t="shared" si="24"/>
        <v/>
      </c>
      <c r="AV69" s="48" t="str">
        <f t="shared" si="25"/>
        <v/>
      </c>
      <c r="AW69" s="48" t="str">
        <f t="shared" si="26"/>
        <v/>
      </c>
      <c r="AX69" s="48" t="str">
        <f t="shared" si="27"/>
        <v/>
      </c>
      <c r="AY69" s="48" t="str">
        <f t="shared" si="28"/>
        <v/>
      </c>
      <c r="AZ69" s="48" t="str">
        <f t="shared" si="29"/>
        <v/>
      </c>
      <c r="BA69" s="48" t="str">
        <f t="shared" si="30"/>
        <v/>
      </c>
      <c r="BB69" s="48" t="str">
        <f t="shared" si="31"/>
        <v/>
      </c>
    </row>
    <row r="70" spans="1:54" x14ac:dyDescent="0.2">
      <c r="A70" s="30"/>
      <c r="B70" s="23"/>
      <c r="C70" s="23"/>
      <c r="D70" s="24"/>
      <c r="E70" s="24"/>
      <c r="F70" s="24"/>
      <c r="G70" s="24"/>
      <c r="H70" s="10" t="str">
        <f t="shared" si="2"/>
        <v/>
      </c>
      <c r="I70" s="10" t="str">
        <f t="shared" si="3"/>
        <v/>
      </c>
      <c r="J70" s="24"/>
      <c r="K70" s="13" t="str">
        <f t="shared" si="4"/>
        <v/>
      </c>
      <c r="L70" s="13" t="str">
        <f t="shared" si="5"/>
        <v/>
      </c>
      <c r="M70" s="25"/>
      <c r="N70" s="25"/>
      <c r="O70" s="22"/>
      <c r="P70" s="11" t="str">
        <f t="shared" si="6"/>
        <v/>
      </c>
      <c r="Q70" s="26"/>
      <c r="R70" s="22"/>
      <c r="S70" s="29" t="str">
        <f t="shared" si="7"/>
        <v/>
      </c>
      <c r="T70" s="12" t="str">
        <f t="shared" si="8"/>
        <v/>
      </c>
      <c r="U70" s="12" t="str">
        <f t="shared" si="9"/>
        <v/>
      </c>
      <c r="V70" s="12" t="str">
        <f>IF(AND($B70="",$C70=""),"",HLOOKUP(VLOOKUP($B$1,'Cidade-ER'!$A:$B,2,0),$AP$6:$BB70,ROW()-5,0))</f>
        <v/>
      </c>
      <c r="W70" s="12" t="str">
        <f t="shared" si="10"/>
        <v/>
      </c>
      <c r="X70" s="12" t="str">
        <f t="shared" si="11"/>
        <v/>
      </c>
      <c r="Y70" s="14" t="str">
        <f t="shared" si="12"/>
        <v/>
      </c>
      <c r="Z70" s="12" t="str">
        <f t="shared" si="13"/>
        <v/>
      </c>
      <c r="AA70" s="12" t="str">
        <f>IF(AND($B70="",$C70=""),"",(Sarjeta!$C$17^(5/3))*(Sarjeta!$C$16^(-2/3))*(ABS($K70)^0.5)/Sarjeta!$C$14*1000*2)</f>
        <v/>
      </c>
      <c r="AB70" s="12" t="str">
        <f>IF(AND($B70="",$C70=""),"",(Sarjeta!$C$17/Sarjeta!$C$16)^(2/3)*(ABS($K70)^0.5)/Sarjeta!$C$14)</f>
        <v/>
      </c>
      <c r="AC70" s="36" t="str">
        <f>IF(AND($B70="",$C70=""),"",IF(Z70&lt;AA70,0,MAX(ROUND(Z70/AA70,0)*2,ROUNDUP(ROUND(Z70/Sarjeta!$C$19,0)/2,0)*2)))</f>
        <v/>
      </c>
      <c r="AD70" s="26"/>
      <c r="AE70" s="27"/>
      <c r="AF70" s="32" t="str">
        <f>IF(OR($AE70="",AND($B70="",$C70="")),"",IF(ISERROR(VLOOKUP(AL70,Coeficientes!$A:$C,3,1)),0.05,VLOOKUP(AL70,Coeficientes!$A:$C,3,1)))</f>
        <v/>
      </c>
      <c r="AG70" s="12" t="str">
        <f t="shared" si="1"/>
        <v/>
      </c>
      <c r="AH70" s="30"/>
      <c r="AI70" s="31"/>
      <c r="AJ70" s="48" t="str">
        <f t="shared" si="14"/>
        <v/>
      </c>
      <c r="AK70" s="48" t="str">
        <f t="shared" si="15"/>
        <v/>
      </c>
      <c r="AL70" s="48" t="str">
        <f t="shared" si="16"/>
        <v/>
      </c>
      <c r="AM70" s="48" t="str">
        <f>IF(AND($B70="",$C70=""),"",VLOOKUP($AF70,Coeficientes!$C:$D,2,0))</f>
        <v/>
      </c>
      <c r="AN70" s="48" t="str">
        <f t="shared" si="17"/>
        <v/>
      </c>
      <c r="AO70" s="48" t="str">
        <f t="shared" si="18"/>
        <v/>
      </c>
      <c r="AP70" s="48" t="str">
        <f t="shared" si="19"/>
        <v/>
      </c>
      <c r="AQ70" s="48" t="str">
        <f t="shared" si="20"/>
        <v/>
      </c>
      <c r="AR70" s="48" t="str">
        <f t="shared" si="21"/>
        <v/>
      </c>
      <c r="AS70" s="48" t="str">
        <f t="shared" si="22"/>
        <v/>
      </c>
      <c r="AT70" s="48" t="str">
        <f t="shared" si="23"/>
        <v/>
      </c>
      <c r="AU70" s="48" t="str">
        <f t="shared" si="24"/>
        <v/>
      </c>
      <c r="AV70" s="48" t="str">
        <f t="shared" si="25"/>
        <v/>
      </c>
      <c r="AW70" s="48" t="str">
        <f t="shared" si="26"/>
        <v/>
      </c>
      <c r="AX70" s="48" t="str">
        <f t="shared" si="27"/>
        <v/>
      </c>
      <c r="AY70" s="48" t="str">
        <f t="shared" si="28"/>
        <v/>
      </c>
      <c r="AZ70" s="48" t="str">
        <f t="shared" si="29"/>
        <v/>
      </c>
      <c r="BA70" s="48" t="str">
        <f t="shared" si="30"/>
        <v/>
      </c>
      <c r="BB70" s="48" t="str">
        <f t="shared" si="31"/>
        <v/>
      </c>
    </row>
    <row r="71" spans="1:54" x14ac:dyDescent="0.2">
      <c r="A71" s="30"/>
      <c r="B71" s="23"/>
      <c r="C71" s="23"/>
      <c r="D71" s="24"/>
      <c r="E71" s="24"/>
      <c r="F71" s="24"/>
      <c r="G71" s="24"/>
      <c r="H71" s="10" t="str">
        <f t="shared" si="2"/>
        <v/>
      </c>
      <c r="I71" s="10" t="str">
        <f t="shared" si="3"/>
        <v/>
      </c>
      <c r="J71" s="24"/>
      <c r="K71" s="13" t="str">
        <f t="shared" si="4"/>
        <v/>
      </c>
      <c r="L71" s="13" t="str">
        <f t="shared" si="5"/>
        <v/>
      </c>
      <c r="M71" s="25"/>
      <c r="N71" s="25"/>
      <c r="O71" s="22"/>
      <c r="P71" s="11" t="str">
        <f t="shared" si="6"/>
        <v/>
      </c>
      <c r="Q71" s="26"/>
      <c r="R71" s="22"/>
      <c r="S71" s="29" t="str">
        <f t="shared" si="7"/>
        <v/>
      </c>
      <c r="T71" s="12" t="str">
        <f t="shared" si="8"/>
        <v/>
      </c>
      <c r="U71" s="12" t="str">
        <f t="shared" si="9"/>
        <v/>
      </c>
      <c r="V71" s="12" t="str">
        <f>IF(AND($B71="",$C71=""),"",HLOOKUP(VLOOKUP($B$1,'Cidade-ER'!$A:$B,2,0),$AP$6:$BB71,ROW()-5,0))</f>
        <v/>
      </c>
      <c r="W71" s="12" t="str">
        <f t="shared" si="10"/>
        <v/>
      </c>
      <c r="X71" s="12" t="str">
        <f t="shared" si="11"/>
        <v/>
      </c>
      <c r="Y71" s="14" t="str">
        <f t="shared" si="12"/>
        <v/>
      </c>
      <c r="Z71" s="12" t="str">
        <f t="shared" si="13"/>
        <v/>
      </c>
      <c r="AA71" s="12" t="str">
        <f>IF(AND($B71="",$C71=""),"",(Sarjeta!$C$17^(5/3))*(Sarjeta!$C$16^(-2/3))*(ABS($K71)^0.5)/Sarjeta!$C$14*1000*2)</f>
        <v/>
      </c>
      <c r="AB71" s="12" t="str">
        <f>IF(AND($B71="",$C71=""),"",(Sarjeta!$C$17/Sarjeta!$C$16)^(2/3)*(ABS($K71)^0.5)/Sarjeta!$C$14)</f>
        <v/>
      </c>
      <c r="AC71" s="36" t="str">
        <f>IF(AND($B71="",$C71=""),"",IF(Z71&lt;AA71,0,MAX(ROUND(Z71/AA71,0)*2,ROUNDUP(ROUND(Z71/Sarjeta!$C$19,0)/2,0)*2)))</f>
        <v/>
      </c>
      <c r="AD71" s="26"/>
      <c r="AE71" s="27"/>
      <c r="AF71" s="32" t="str">
        <f>IF(OR($AE71="",AND($B71="",$C71="")),"",IF(ISERROR(VLOOKUP(AL71,Coeficientes!$A:$C,3,1)),0.05,VLOOKUP(AL71,Coeficientes!$A:$C,3,1)))</f>
        <v/>
      </c>
      <c r="AG71" s="12" t="str">
        <f t="shared" si="1"/>
        <v/>
      </c>
      <c r="AH71" s="30"/>
      <c r="AI71" s="31"/>
      <c r="AJ71" s="48" t="str">
        <f t="shared" si="14"/>
        <v/>
      </c>
      <c r="AK71" s="48" t="str">
        <f t="shared" si="15"/>
        <v/>
      </c>
      <c r="AL71" s="48" t="str">
        <f t="shared" si="16"/>
        <v/>
      </c>
      <c r="AM71" s="48" t="str">
        <f>IF(AND($B71="",$C71=""),"",VLOOKUP($AF71,Coeficientes!$C:$D,2,0))</f>
        <v/>
      </c>
      <c r="AN71" s="48" t="str">
        <f t="shared" si="17"/>
        <v/>
      </c>
      <c r="AO71" s="48" t="str">
        <f t="shared" si="18"/>
        <v/>
      </c>
      <c r="AP71" s="48" t="str">
        <f t="shared" si="19"/>
        <v/>
      </c>
      <c r="AQ71" s="48" t="str">
        <f t="shared" si="20"/>
        <v/>
      </c>
      <c r="AR71" s="48" t="str">
        <f t="shared" si="21"/>
        <v/>
      </c>
      <c r="AS71" s="48" t="str">
        <f t="shared" si="22"/>
        <v/>
      </c>
      <c r="AT71" s="48" t="str">
        <f t="shared" si="23"/>
        <v/>
      </c>
      <c r="AU71" s="48" t="str">
        <f t="shared" si="24"/>
        <v/>
      </c>
      <c r="AV71" s="48" t="str">
        <f t="shared" si="25"/>
        <v/>
      </c>
      <c r="AW71" s="48" t="str">
        <f t="shared" si="26"/>
        <v/>
      </c>
      <c r="AX71" s="48" t="str">
        <f t="shared" si="27"/>
        <v/>
      </c>
      <c r="AY71" s="48" t="str">
        <f t="shared" si="28"/>
        <v/>
      </c>
      <c r="AZ71" s="48" t="str">
        <f t="shared" si="29"/>
        <v/>
      </c>
      <c r="BA71" s="48" t="str">
        <f t="shared" si="30"/>
        <v/>
      </c>
      <c r="BB71" s="48" t="str">
        <f t="shared" si="31"/>
        <v/>
      </c>
    </row>
    <row r="72" spans="1:54" x14ac:dyDescent="0.2">
      <c r="A72" s="30"/>
      <c r="B72" s="23"/>
      <c r="C72" s="23"/>
      <c r="D72" s="24"/>
      <c r="E72" s="24"/>
      <c r="F72" s="24"/>
      <c r="G72" s="24"/>
      <c r="H72" s="10" t="str">
        <f t="shared" si="2"/>
        <v/>
      </c>
      <c r="I72" s="10" t="str">
        <f t="shared" si="3"/>
        <v/>
      </c>
      <c r="J72" s="24"/>
      <c r="K72" s="13" t="str">
        <f t="shared" si="4"/>
        <v/>
      </c>
      <c r="L72" s="13" t="str">
        <f t="shared" si="5"/>
        <v/>
      </c>
      <c r="M72" s="25"/>
      <c r="N72" s="25"/>
      <c r="O72" s="22"/>
      <c r="P72" s="11" t="str">
        <f t="shared" si="6"/>
        <v/>
      </c>
      <c r="Q72" s="26"/>
      <c r="R72" s="22"/>
      <c r="S72" s="29" t="str">
        <f t="shared" si="7"/>
        <v/>
      </c>
      <c r="T72" s="12" t="str">
        <f t="shared" si="8"/>
        <v/>
      </c>
      <c r="U72" s="12" t="str">
        <f t="shared" si="9"/>
        <v/>
      </c>
      <c r="V72" s="12" t="str">
        <f>IF(AND($B72="",$C72=""),"",HLOOKUP(VLOOKUP($B$1,'Cidade-ER'!$A:$B,2,0),$AP$6:$BB72,ROW()-5,0))</f>
        <v/>
      </c>
      <c r="W72" s="12" t="str">
        <f t="shared" si="10"/>
        <v/>
      </c>
      <c r="X72" s="12" t="str">
        <f t="shared" si="11"/>
        <v/>
      </c>
      <c r="Y72" s="14" t="str">
        <f t="shared" si="12"/>
        <v/>
      </c>
      <c r="Z72" s="12" t="str">
        <f t="shared" si="13"/>
        <v/>
      </c>
      <c r="AA72" s="12" t="str">
        <f>IF(AND($B72="",$C72=""),"",(Sarjeta!$C$17^(5/3))*(Sarjeta!$C$16^(-2/3))*(ABS($K72)^0.5)/Sarjeta!$C$14*1000*2)</f>
        <v/>
      </c>
      <c r="AB72" s="12" t="str">
        <f>IF(AND($B72="",$C72=""),"",(Sarjeta!$C$17/Sarjeta!$C$16)^(2/3)*(ABS($K72)^0.5)/Sarjeta!$C$14)</f>
        <v/>
      </c>
      <c r="AC72" s="36" t="str">
        <f>IF(AND($B72="",$C72=""),"",IF(Z72&lt;AA72,0,MAX(ROUND(Z72/AA72,0)*2,ROUNDUP(ROUND(Z72/Sarjeta!$C$19,0)/2,0)*2)))</f>
        <v/>
      </c>
      <c r="AD72" s="26"/>
      <c r="AE72" s="27"/>
      <c r="AF72" s="32" t="str">
        <f>IF(OR($AE72="",AND($B72="",$C72="")),"",IF(ISERROR(VLOOKUP(AL72,Coeficientes!$A:$C,3,1)),0.05,VLOOKUP(AL72,Coeficientes!$A:$C,3,1)))</f>
        <v/>
      </c>
      <c r="AG72" s="12" t="str">
        <f t="shared" si="1"/>
        <v/>
      </c>
      <c r="AH72" s="30"/>
      <c r="AI72" s="31"/>
      <c r="AJ72" s="48" t="str">
        <f t="shared" si="14"/>
        <v/>
      </c>
      <c r="AK72" s="48" t="str">
        <f t="shared" si="15"/>
        <v/>
      </c>
      <c r="AL72" s="48" t="str">
        <f t="shared" si="16"/>
        <v/>
      </c>
      <c r="AM72" s="48" t="str">
        <f>IF(AND($B72="",$C72=""),"",VLOOKUP($AF72,Coeficientes!$C:$D,2,0))</f>
        <v/>
      </c>
      <c r="AN72" s="48" t="str">
        <f t="shared" si="17"/>
        <v/>
      </c>
      <c r="AO72" s="48" t="str">
        <f t="shared" si="18"/>
        <v/>
      </c>
      <c r="AP72" s="48" t="str">
        <f t="shared" si="19"/>
        <v/>
      </c>
      <c r="AQ72" s="48" t="str">
        <f t="shared" si="20"/>
        <v/>
      </c>
      <c r="AR72" s="48" t="str">
        <f t="shared" si="21"/>
        <v/>
      </c>
      <c r="AS72" s="48" t="str">
        <f t="shared" si="22"/>
        <v/>
      </c>
      <c r="AT72" s="48" t="str">
        <f t="shared" si="23"/>
        <v/>
      </c>
      <c r="AU72" s="48" t="str">
        <f t="shared" si="24"/>
        <v/>
      </c>
      <c r="AV72" s="48" t="str">
        <f t="shared" si="25"/>
        <v/>
      </c>
      <c r="AW72" s="48" t="str">
        <f t="shared" si="26"/>
        <v/>
      </c>
      <c r="AX72" s="48" t="str">
        <f t="shared" si="27"/>
        <v/>
      </c>
      <c r="AY72" s="48" t="str">
        <f t="shared" si="28"/>
        <v/>
      </c>
      <c r="AZ72" s="48" t="str">
        <f t="shared" si="29"/>
        <v/>
      </c>
      <c r="BA72" s="48" t="str">
        <f t="shared" si="30"/>
        <v/>
      </c>
      <c r="BB72" s="48" t="str">
        <f t="shared" si="31"/>
        <v/>
      </c>
    </row>
    <row r="73" spans="1:54" x14ac:dyDescent="0.2">
      <c r="A73" s="30"/>
      <c r="B73" s="23"/>
      <c r="C73" s="23"/>
      <c r="D73" s="24"/>
      <c r="E73" s="24"/>
      <c r="F73" s="24"/>
      <c r="G73" s="24"/>
      <c r="H73" s="10" t="str">
        <f t="shared" si="2"/>
        <v/>
      </c>
      <c r="I73" s="10" t="str">
        <f t="shared" si="3"/>
        <v/>
      </c>
      <c r="J73" s="24"/>
      <c r="K73" s="13" t="str">
        <f t="shared" si="4"/>
        <v/>
      </c>
      <c r="L73" s="13" t="str">
        <f t="shared" si="5"/>
        <v/>
      </c>
      <c r="M73" s="25"/>
      <c r="N73" s="25"/>
      <c r="O73" s="22"/>
      <c r="P73" s="11" t="str">
        <f t="shared" si="6"/>
        <v/>
      </c>
      <c r="Q73" s="26"/>
      <c r="R73" s="22"/>
      <c r="S73" s="29" t="str">
        <f t="shared" si="7"/>
        <v/>
      </c>
      <c r="T73" s="12" t="str">
        <f t="shared" si="8"/>
        <v/>
      </c>
      <c r="U73" s="12" t="str">
        <f t="shared" si="9"/>
        <v/>
      </c>
      <c r="V73" s="12" t="str">
        <f>IF(AND($B73="",$C73=""),"",HLOOKUP(VLOOKUP($B$1,'Cidade-ER'!$A:$B,2,0),$AP$6:$BB73,ROW()-5,0))</f>
        <v/>
      </c>
      <c r="W73" s="12" t="str">
        <f t="shared" si="10"/>
        <v/>
      </c>
      <c r="X73" s="12" t="str">
        <f t="shared" si="11"/>
        <v/>
      </c>
      <c r="Y73" s="14" t="str">
        <f t="shared" si="12"/>
        <v/>
      </c>
      <c r="Z73" s="12" t="str">
        <f t="shared" si="13"/>
        <v/>
      </c>
      <c r="AA73" s="12" t="str">
        <f>IF(AND($B73="",$C73=""),"",(Sarjeta!$C$17^(5/3))*(Sarjeta!$C$16^(-2/3))*(ABS($K73)^0.5)/Sarjeta!$C$14*1000*2)</f>
        <v/>
      </c>
      <c r="AB73" s="12" t="str">
        <f>IF(AND($B73="",$C73=""),"",(Sarjeta!$C$17/Sarjeta!$C$16)^(2/3)*(ABS($K73)^0.5)/Sarjeta!$C$14)</f>
        <v/>
      </c>
      <c r="AC73" s="36" t="str">
        <f>IF(AND($B73="",$C73=""),"",IF(Z73&lt;AA73,0,MAX(ROUND(Z73/AA73,0)*2,ROUNDUP(ROUND(Z73/Sarjeta!$C$19,0)/2,0)*2)))</f>
        <v/>
      </c>
      <c r="AD73" s="26"/>
      <c r="AE73" s="27"/>
      <c r="AF73" s="32" t="str">
        <f>IF(OR($AE73="",AND($B73="",$C73="")),"",IF(ISERROR(VLOOKUP(AL73,Coeficientes!$A:$C,3,1)),0.05,VLOOKUP(AL73,Coeficientes!$A:$C,3,1)))</f>
        <v/>
      </c>
      <c r="AG73" s="12" t="str">
        <f t="shared" ref="AG73:AG136" si="32">IF(OR(AE73="",AND($B73="",$C73="")),"",(Y73/AD73/1000)/(AM73*AE73^2))</f>
        <v/>
      </c>
      <c r="AH73" s="30"/>
      <c r="AI73" s="31"/>
      <c r="AJ73" s="48" t="str">
        <f t="shared" si="14"/>
        <v/>
      </c>
      <c r="AK73" s="48" t="str">
        <f t="shared" si="15"/>
        <v/>
      </c>
      <c r="AL73" s="48" t="str">
        <f t="shared" si="16"/>
        <v/>
      </c>
      <c r="AM73" s="48" t="str">
        <f>IF(AND($B73="",$C73=""),"",VLOOKUP($AF73,Coeficientes!$C:$D,2,0))</f>
        <v/>
      </c>
      <c r="AN73" s="48" t="str">
        <f t="shared" si="17"/>
        <v/>
      </c>
      <c r="AO73" s="48" t="str">
        <f t="shared" si="18"/>
        <v/>
      </c>
      <c r="AP73" s="48" t="str">
        <f t="shared" si="19"/>
        <v/>
      </c>
      <c r="AQ73" s="48" t="str">
        <f t="shared" si="20"/>
        <v/>
      </c>
      <c r="AR73" s="48" t="str">
        <f t="shared" si="21"/>
        <v/>
      </c>
      <c r="AS73" s="48" t="str">
        <f t="shared" si="22"/>
        <v/>
      </c>
      <c r="AT73" s="48" t="str">
        <f t="shared" si="23"/>
        <v/>
      </c>
      <c r="AU73" s="48" t="str">
        <f t="shared" si="24"/>
        <v/>
      </c>
      <c r="AV73" s="48" t="str">
        <f t="shared" si="25"/>
        <v/>
      </c>
      <c r="AW73" s="48" t="str">
        <f t="shared" si="26"/>
        <v/>
      </c>
      <c r="AX73" s="48" t="str">
        <f t="shared" si="27"/>
        <v/>
      </c>
      <c r="AY73" s="48" t="str">
        <f t="shared" si="28"/>
        <v/>
      </c>
      <c r="AZ73" s="48" t="str">
        <f t="shared" si="29"/>
        <v/>
      </c>
      <c r="BA73" s="48" t="str">
        <f t="shared" si="30"/>
        <v/>
      </c>
      <c r="BB73" s="48" t="str">
        <f t="shared" si="31"/>
        <v/>
      </c>
    </row>
    <row r="74" spans="1:54" x14ac:dyDescent="0.2">
      <c r="A74" s="30"/>
      <c r="B74" s="23"/>
      <c r="C74" s="23"/>
      <c r="D74" s="24"/>
      <c r="E74" s="24"/>
      <c r="F74" s="24"/>
      <c r="G74" s="24"/>
      <c r="H74" s="10" t="str">
        <f t="shared" ref="H74:H137" si="33">IF(AND($B74="",$C74=""),"",D74-F74-$AE74)</f>
        <v/>
      </c>
      <c r="I74" s="10" t="str">
        <f t="shared" ref="I74:I137" si="34">IF(AND($B74="",$C74=""),"",E74-G74-$AE74)</f>
        <v/>
      </c>
      <c r="J74" s="24"/>
      <c r="K74" s="13" t="str">
        <f t="shared" ref="K74:K137" si="35">IF(AND($B74="",$C74=""),"",(D74-E74)/J74)</f>
        <v/>
      </c>
      <c r="L74" s="13" t="str">
        <f t="shared" ref="L74:L137" si="36">IF(AND($B74="",$C74=""),"",(H74-I74)/J74)</f>
        <v/>
      </c>
      <c r="M74" s="25"/>
      <c r="N74" s="25"/>
      <c r="O74" s="22"/>
      <c r="P74" s="11" t="str">
        <f t="shared" ref="P74:P137" si="37">IF(AND($B74="",$C74=""),"",M74-N74)</f>
        <v/>
      </c>
      <c r="Q74" s="26"/>
      <c r="R74" s="22"/>
      <c r="S74" s="29" t="str">
        <f t="shared" ref="S74:S137" si="38">IF(AND($B74="",$C74=""),"",IF(OR(ISTEXT(S73),S73=""),Q74/10000,Q74/10000+S73))</f>
        <v/>
      </c>
      <c r="T74" s="12" t="str">
        <f t="shared" ref="T74:T137" si="39">IF(AND($B74="",$C74=""),"",IF((Q74/10000)&lt;1,1,(Q74/10000)^(-0.15)))</f>
        <v/>
      </c>
      <c r="U74" s="12" t="str">
        <f t="shared" ref="U74:U137" si="40">IF(AND($B74="",$C74=""),"",IF(57*(O74^3/P74)^0.385&lt;10,10,57*(O74^3/P74)^0.385))</f>
        <v/>
      </c>
      <c r="V74" s="12" t="str">
        <f>IF(AND($B74="",$C74=""),"",HLOOKUP(VLOOKUP($B$1,'Cidade-ER'!$A:$B,2,0),$AP$6:$BB74,ROW()-5,0))</f>
        <v/>
      </c>
      <c r="W74" s="12" t="str">
        <f t="shared" ref="W74:W137" si="41">IF(AND($B74="",$C74=""),"",0.0725*R74*(V74*U74)^(1/3))</f>
        <v/>
      </c>
      <c r="X74" s="12" t="str">
        <f t="shared" ref="X74:X137" si="42">IF(AND($B74="",$C74=""),"",(Q74/10000)*T74*V74*W74*2.778)</f>
        <v/>
      </c>
      <c r="Y74" s="14" t="str">
        <f t="shared" ref="Y74:Y137" si="43">IF(AND($B74="",$C74=""),"",IF(OR(ISTEXT(Y73),Y73=""),X74,X74+Y73))</f>
        <v/>
      </c>
      <c r="Z74" s="12" t="str">
        <f t="shared" ref="Z74:Z137" si="44">IF(AND($B74="",$C74=""),"",IF(AC73=0,X74+Z73,X74))</f>
        <v/>
      </c>
      <c r="AA74" s="12" t="str">
        <f>IF(AND($B74="",$C74=""),"",(Sarjeta!$C$17^(5/3))*(Sarjeta!$C$16^(-2/3))*(ABS($K74)^0.5)/Sarjeta!$C$14*1000*2)</f>
        <v/>
      </c>
      <c r="AB74" s="12" t="str">
        <f>IF(AND($B74="",$C74=""),"",(Sarjeta!$C$17/Sarjeta!$C$16)^(2/3)*(ABS($K74)^0.5)/Sarjeta!$C$14)</f>
        <v/>
      </c>
      <c r="AC74" s="36" t="str">
        <f>IF(AND($B74="",$C74=""),"",IF(Z74&lt;AA74,0,MAX(ROUND(Z74/AA74,0)*2,ROUNDUP(ROUND(Z74/Sarjeta!$C$19,0)/2,0)*2)))</f>
        <v/>
      </c>
      <c r="AD74" s="26"/>
      <c r="AE74" s="27"/>
      <c r="AF74" s="32" t="str">
        <f>IF(OR($AE74="",AND($B74="",$C74="")),"",IF(ISERROR(VLOOKUP(AL74,Coeficientes!$A:$C,3,1)),0.05,VLOOKUP(AL74,Coeficientes!$A:$C,3,1)))</f>
        <v/>
      </c>
      <c r="AG74" s="12" t="str">
        <f t="shared" si="32"/>
        <v/>
      </c>
      <c r="AH74" s="30"/>
      <c r="AI74" s="31"/>
      <c r="AJ74" s="48" t="str">
        <f t="shared" ref="AJ74:AJ137" si="45">IF(AND($B74="",$C74=""),"",(Y74/AD74/1000)/L74^0.5)</f>
        <v/>
      </c>
      <c r="AK74" s="48" t="str">
        <f t="shared" ref="AK74:AK137" si="46">IF(AND($B74="",$C74=""),"",AN74/(AE74^2.5))</f>
        <v/>
      </c>
      <c r="AL74" s="48" t="str">
        <f t="shared" ref="AL74:AL137" si="47">IF(AND($B74="",$C74=""),"",AJ74/(AE74^(8/3)/0.015))</f>
        <v/>
      </c>
      <c r="AM74" s="48" t="str">
        <f>IF(AND($B74="",$C74=""),"",VLOOKUP($AF74,Coeficientes!$C:$D,2,0))</f>
        <v/>
      </c>
      <c r="AN74" s="48" t="str">
        <f t="shared" ref="AN74:AN137" si="48">IF(AND($B74="",$C74=""),"",((Y74/AD74/1000)/(9.80665^0.5)))</f>
        <v/>
      </c>
      <c r="AO74" s="48" t="str">
        <f t="shared" ref="AO74:AO137" si="49">IF(AND($B74="",$C74=""),"",IF(AF74="Menor","",AL74*AE74))</f>
        <v/>
      </c>
      <c r="AP74" s="48" t="str">
        <f t="shared" ref="AP74:AP137" si="50">IF(AND($B74="",$C74=""),"",(1301.07*10^0.177)/($U74+15)^0.836)</f>
        <v/>
      </c>
      <c r="AQ74" s="48" t="str">
        <f t="shared" ref="AQ74:AQ137" si="51">IF(AND($B74="",$C74=""),"",(2778.43*10^0.149)/($U74+24)^0.94)</f>
        <v/>
      </c>
      <c r="AR74" s="48" t="str">
        <f t="shared" ref="AR74:AR137" si="52">IF(AND($B74="",$C74=""),"",(1062.92*10^0.141)/($U74+5)^0.776)</f>
        <v/>
      </c>
      <c r="AS74" s="48" t="str">
        <f t="shared" ref="AS74:AS137" si="53">IF(AND($B74="",$C74=""),"",(3132.56*10^0.093)/($U74+30)^0.939)</f>
        <v/>
      </c>
      <c r="AT74" s="48" t="str">
        <f t="shared" ref="AT74:AT137" si="54">IF(AND($B74="",$C74=""),"",(5726.64*10^0.159)/($U74+41)^1.041)</f>
        <v/>
      </c>
      <c r="AU74" s="48" t="str">
        <f t="shared" ref="AU74:AU137" si="55">IF(AND($B74="",$C74=""),"",(1012.28*10^0.182)/($U74+9)^0.76)</f>
        <v/>
      </c>
      <c r="AV74" s="48" t="str">
        <f t="shared" ref="AV74:AV137" si="56">IF(AND($B74="",$C74=""),"",(1039.68*10^0.171)/($U74+10)^0.799)</f>
        <v/>
      </c>
      <c r="AW74" s="48" t="str">
        <f t="shared" ref="AW74:AW137" si="57">IF(AND($B74="",$C74=""),"",(3132.56*10^0.093)/($U74+30)^0.939)</f>
        <v/>
      </c>
      <c r="AX74" s="48" t="str">
        <f t="shared" ref="AX74:AX137" si="58">IF(AND($B74="",$C74=""),"",(2115.81*10^0.145)/($U74+22)^0.849)</f>
        <v/>
      </c>
      <c r="AY74" s="48" t="str">
        <f t="shared" ref="AY74:AY137" si="59">IF(AND($B74="",$C74=""),"",(2808.67*10^0.104)/($U74+33)^0.93)</f>
        <v/>
      </c>
      <c r="AZ74" s="48" t="str">
        <f t="shared" ref="AZ74:AZ137" si="60">IF(AND($B74="",$C74=""),"",(1902.39*10^0.152)/($U74+21)^0.893)</f>
        <v/>
      </c>
      <c r="BA74" s="48" t="str">
        <f t="shared" ref="BA74:BA137" si="61">IF(AND($B74="",$C74=""),"",(1752.27*10^0.148)/($U74+17)^0.84)</f>
        <v/>
      </c>
      <c r="BB74" s="48" t="str">
        <f t="shared" ref="BB74:BB137" si="62">IF(AND($B74="",$C74=""),"",(1039.68*10^0.171)/($U74+10)^0.799)</f>
        <v/>
      </c>
    </row>
    <row r="75" spans="1:54" x14ac:dyDescent="0.2">
      <c r="A75" s="30"/>
      <c r="B75" s="23"/>
      <c r="C75" s="23"/>
      <c r="D75" s="24"/>
      <c r="E75" s="24"/>
      <c r="F75" s="24"/>
      <c r="G75" s="24"/>
      <c r="H75" s="10" t="str">
        <f t="shared" si="33"/>
        <v/>
      </c>
      <c r="I75" s="10" t="str">
        <f t="shared" si="34"/>
        <v/>
      </c>
      <c r="J75" s="24"/>
      <c r="K75" s="13" t="str">
        <f t="shared" si="35"/>
        <v/>
      </c>
      <c r="L75" s="13" t="str">
        <f t="shared" si="36"/>
        <v/>
      </c>
      <c r="M75" s="25"/>
      <c r="N75" s="25"/>
      <c r="O75" s="22"/>
      <c r="P75" s="11" t="str">
        <f t="shared" si="37"/>
        <v/>
      </c>
      <c r="Q75" s="26"/>
      <c r="R75" s="22"/>
      <c r="S75" s="29" t="str">
        <f t="shared" si="38"/>
        <v/>
      </c>
      <c r="T75" s="12" t="str">
        <f t="shared" si="39"/>
        <v/>
      </c>
      <c r="U75" s="12" t="str">
        <f t="shared" si="40"/>
        <v/>
      </c>
      <c r="V75" s="12" t="str">
        <f>IF(AND($B75="",$C75=""),"",HLOOKUP(VLOOKUP($B$1,'Cidade-ER'!$A:$B,2,0),$AP$6:$BB75,ROW()-5,0))</f>
        <v/>
      </c>
      <c r="W75" s="12" t="str">
        <f t="shared" si="41"/>
        <v/>
      </c>
      <c r="X75" s="12" t="str">
        <f t="shared" si="42"/>
        <v/>
      </c>
      <c r="Y75" s="14" t="str">
        <f t="shared" si="43"/>
        <v/>
      </c>
      <c r="Z75" s="12" t="str">
        <f t="shared" si="44"/>
        <v/>
      </c>
      <c r="AA75" s="12" t="str">
        <f>IF(AND($B75="",$C75=""),"",(Sarjeta!$C$17^(5/3))*(Sarjeta!$C$16^(-2/3))*(ABS($K75)^0.5)/Sarjeta!$C$14*1000*2)</f>
        <v/>
      </c>
      <c r="AB75" s="12" t="str">
        <f>IF(AND($B75="",$C75=""),"",(Sarjeta!$C$17/Sarjeta!$C$16)^(2/3)*(ABS($K75)^0.5)/Sarjeta!$C$14)</f>
        <v/>
      </c>
      <c r="AC75" s="36" t="str">
        <f>IF(AND($B75="",$C75=""),"",IF(Z75&lt;AA75,0,MAX(ROUND(Z75/AA75,0)*2,ROUNDUP(ROUND(Z75/Sarjeta!$C$19,0)/2,0)*2)))</f>
        <v/>
      </c>
      <c r="AD75" s="26"/>
      <c r="AE75" s="27"/>
      <c r="AF75" s="32" t="str">
        <f>IF(OR($AE75="",AND($B75="",$C75="")),"",IF(ISERROR(VLOOKUP(AL75,Coeficientes!$A:$C,3,1)),0.05,VLOOKUP(AL75,Coeficientes!$A:$C,3,1)))</f>
        <v/>
      </c>
      <c r="AG75" s="12" t="str">
        <f t="shared" si="32"/>
        <v/>
      </c>
      <c r="AH75" s="30"/>
      <c r="AI75" s="31"/>
      <c r="AJ75" s="48" t="str">
        <f t="shared" si="45"/>
        <v/>
      </c>
      <c r="AK75" s="48" t="str">
        <f t="shared" si="46"/>
        <v/>
      </c>
      <c r="AL75" s="48" t="str">
        <f t="shared" si="47"/>
        <v/>
      </c>
      <c r="AM75" s="48" t="str">
        <f>IF(AND($B75="",$C75=""),"",VLOOKUP($AF75,Coeficientes!$C:$D,2,0))</f>
        <v/>
      </c>
      <c r="AN75" s="48" t="str">
        <f t="shared" si="48"/>
        <v/>
      </c>
      <c r="AO75" s="48" t="str">
        <f t="shared" si="49"/>
        <v/>
      </c>
      <c r="AP75" s="48" t="str">
        <f t="shared" si="50"/>
        <v/>
      </c>
      <c r="AQ75" s="48" t="str">
        <f t="shared" si="51"/>
        <v/>
      </c>
      <c r="AR75" s="48" t="str">
        <f t="shared" si="52"/>
        <v/>
      </c>
      <c r="AS75" s="48" t="str">
        <f t="shared" si="53"/>
        <v/>
      </c>
      <c r="AT75" s="48" t="str">
        <f t="shared" si="54"/>
        <v/>
      </c>
      <c r="AU75" s="48" t="str">
        <f t="shared" si="55"/>
        <v/>
      </c>
      <c r="AV75" s="48" t="str">
        <f t="shared" si="56"/>
        <v/>
      </c>
      <c r="AW75" s="48" t="str">
        <f t="shared" si="57"/>
        <v/>
      </c>
      <c r="AX75" s="48" t="str">
        <f t="shared" si="58"/>
        <v/>
      </c>
      <c r="AY75" s="48" t="str">
        <f t="shared" si="59"/>
        <v/>
      </c>
      <c r="AZ75" s="48" t="str">
        <f t="shared" si="60"/>
        <v/>
      </c>
      <c r="BA75" s="48" t="str">
        <f t="shared" si="61"/>
        <v/>
      </c>
      <c r="BB75" s="48" t="str">
        <f t="shared" si="62"/>
        <v/>
      </c>
    </row>
    <row r="76" spans="1:54" x14ac:dyDescent="0.2">
      <c r="A76" s="30"/>
      <c r="B76" s="23"/>
      <c r="C76" s="23"/>
      <c r="D76" s="24"/>
      <c r="E76" s="24"/>
      <c r="F76" s="24"/>
      <c r="G76" s="24"/>
      <c r="H76" s="10" t="str">
        <f t="shared" si="33"/>
        <v/>
      </c>
      <c r="I76" s="10" t="str">
        <f t="shared" si="34"/>
        <v/>
      </c>
      <c r="J76" s="24"/>
      <c r="K76" s="13" t="str">
        <f t="shared" si="35"/>
        <v/>
      </c>
      <c r="L76" s="13" t="str">
        <f t="shared" si="36"/>
        <v/>
      </c>
      <c r="M76" s="25"/>
      <c r="N76" s="25"/>
      <c r="O76" s="22"/>
      <c r="P76" s="11" t="str">
        <f t="shared" si="37"/>
        <v/>
      </c>
      <c r="Q76" s="26"/>
      <c r="R76" s="22"/>
      <c r="S76" s="29" t="str">
        <f t="shared" si="38"/>
        <v/>
      </c>
      <c r="T76" s="12" t="str">
        <f t="shared" si="39"/>
        <v/>
      </c>
      <c r="U76" s="12" t="str">
        <f t="shared" si="40"/>
        <v/>
      </c>
      <c r="V76" s="12" t="str">
        <f>IF(AND($B76="",$C76=""),"",HLOOKUP(VLOOKUP($B$1,'Cidade-ER'!$A:$B,2,0),$AP$6:$BB76,ROW()-5,0))</f>
        <v/>
      </c>
      <c r="W76" s="12" t="str">
        <f t="shared" si="41"/>
        <v/>
      </c>
      <c r="X76" s="12" t="str">
        <f t="shared" si="42"/>
        <v/>
      </c>
      <c r="Y76" s="14" t="str">
        <f t="shared" si="43"/>
        <v/>
      </c>
      <c r="Z76" s="12" t="str">
        <f t="shared" si="44"/>
        <v/>
      </c>
      <c r="AA76" s="12" t="str">
        <f>IF(AND($B76="",$C76=""),"",(Sarjeta!$C$17^(5/3))*(Sarjeta!$C$16^(-2/3))*(ABS($K76)^0.5)/Sarjeta!$C$14*1000*2)</f>
        <v/>
      </c>
      <c r="AB76" s="12" t="str">
        <f>IF(AND($B76="",$C76=""),"",(Sarjeta!$C$17/Sarjeta!$C$16)^(2/3)*(ABS($K76)^0.5)/Sarjeta!$C$14)</f>
        <v/>
      </c>
      <c r="AC76" s="36" t="str">
        <f>IF(AND($B76="",$C76=""),"",IF(Z76&lt;AA76,0,MAX(ROUND(Z76/AA76,0)*2,ROUNDUP(ROUND(Z76/Sarjeta!$C$19,0)/2,0)*2)))</f>
        <v/>
      </c>
      <c r="AD76" s="26"/>
      <c r="AE76" s="27"/>
      <c r="AF76" s="32" t="str">
        <f>IF(OR($AE76="",AND($B76="",$C76="")),"",IF(ISERROR(VLOOKUP(AL76,Coeficientes!$A:$C,3,1)),0.05,VLOOKUP(AL76,Coeficientes!$A:$C,3,1)))</f>
        <v/>
      </c>
      <c r="AG76" s="12" t="str">
        <f t="shared" si="32"/>
        <v/>
      </c>
      <c r="AH76" s="30"/>
      <c r="AI76" s="31"/>
      <c r="AJ76" s="48" t="str">
        <f t="shared" si="45"/>
        <v/>
      </c>
      <c r="AK76" s="48" t="str">
        <f t="shared" si="46"/>
        <v/>
      </c>
      <c r="AL76" s="48" t="str">
        <f t="shared" si="47"/>
        <v/>
      </c>
      <c r="AM76" s="48" t="str">
        <f>IF(AND($B76="",$C76=""),"",VLOOKUP($AF76,Coeficientes!$C:$D,2,0))</f>
        <v/>
      </c>
      <c r="AN76" s="48" t="str">
        <f t="shared" si="48"/>
        <v/>
      </c>
      <c r="AO76" s="48" t="str">
        <f t="shared" si="49"/>
        <v/>
      </c>
      <c r="AP76" s="48" t="str">
        <f t="shared" si="50"/>
        <v/>
      </c>
      <c r="AQ76" s="48" t="str">
        <f t="shared" si="51"/>
        <v/>
      </c>
      <c r="AR76" s="48" t="str">
        <f t="shared" si="52"/>
        <v/>
      </c>
      <c r="AS76" s="48" t="str">
        <f t="shared" si="53"/>
        <v/>
      </c>
      <c r="AT76" s="48" t="str">
        <f t="shared" si="54"/>
        <v/>
      </c>
      <c r="AU76" s="48" t="str">
        <f t="shared" si="55"/>
        <v/>
      </c>
      <c r="AV76" s="48" t="str">
        <f t="shared" si="56"/>
        <v/>
      </c>
      <c r="AW76" s="48" t="str">
        <f t="shared" si="57"/>
        <v/>
      </c>
      <c r="AX76" s="48" t="str">
        <f t="shared" si="58"/>
        <v/>
      </c>
      <c r="AY76" s="48" t="str">
        <f t="shared" si="59"/>
        <v/>
      </c>
      <c r="AZ76" s="48" t="str">
        <f t="shared" si="60"/>
        <v/>
      </c>
      <c r="BA76" s="48" t="str">
        <f t="shared" si="61"/>
        <v/>
      </c>
      <c r="BB76" s="48" t="str">
        <f t="shared" si="62"/>
        <v/>
      </c>
    </row>
    <row r="77" spans="1:54" x14ac:dyDescent="0.2">
      <c r="A77" s="30"/>
      <c r="B77" s="23"/>
      <c r="C77" s="23"/>
      <c r="D77" s="24"/>
      <c r="E77" s="24"/>
      <c r="F77" s="24"/>
      <c r="G77" s="24"/>
      <c r="H77" s="10" t="str">
        <f t="shared" si="33"/>
        <v/>
      </c>
      <c r="I77" s="10" t="str">
        <f t="shared" si="34"/>
        <v/>
      </c>
      <c r="J77" s="24"/>
      <c r="K77" s="13" t="str">
        <f t="shared" si="35"/>
        <v/>
      </c>
      <c r="L77" s="13" t="str">
        <f t="shared" si="36"/>
        <v/>
      </c>
      <c r="M77" s="25"/>
      <c r="N77" s="25"/>
      <c r="O77" s="22"/>
      <c r="P77" s="11" t="str">
        <f t="shared" si="37"/>
        <v/>
      </c>
      <c r="Q77" s="26"/>
      <c r="R77" s="22"/>
      <c r="S77" s="29" t="str">
        <f t="shared" si="38"/>
        <v/>
      </c>
      <c r="T77" s="12" t="str">
        <f t="shared" si="39"/>
        <v/>
      </c>
      <c r="U77" s="12" t="str">
        <f t="shared" si="40"/>
        <v/>
      </c>
      <c r="V77" s="12" t="str">
        <f>IF(AND($B77="",$C77=""),"",HLOOKUP(VLOOKUP($B$1,'Cidade-ER'!$A:$B,2,0),$AP$6:$BB77,ROW()-5,0))</f>
        <v/>
      </c>
      <c r="W77" s="12" t="str">
        <f t="shared" si="41"/>
        <v/>
      </c>
      <c r="X77" s="12" t="str">
        <f t="shared" si="42"/>
        <v/>
      </c>
      <c r="Y77" s="14" t="str">
        <f t="shared" si="43"/>
        <v/>
      </c>
      <c r="Z77" s="12" t="str">
        <f t="shared" si="44"/>
        <v/>
      </c>
      <c r="AA77" s="12" t="str">
        <f>IF(AND($B77="",$C77=""),"",(Sarjeta!$C$17^(5/3))*(Sarjeta!$C$16^(-2/3))*(ABS($K77)^0.5)/Sarjeta!$C$14*1000*2)</f>
        <v/>
      </c>
      <c r="AB77" s="12" t="str">
        <f>IF(AND($B77="",$C77=""),"",(Sarjeta!$C$17/Sarjeta!$C$16)^(2/3)*(ABS($K77)^0.5)/Sarjeta!$C$14)</f>
        <v/>
      </c>
      <c r="AC77" s="36" t="str">
        <f>IF(AND($B77="",$C77=""),"",IF(Z77&lt;AA77,0,MAX(ROUND(Z77/AA77,0)*2,ROUNDUP(ROUND(Z77/Sarjeta!$C$19,0)/2,0)*2)))</f>
        <v/>
      </c>
      <c r="AD77" s="26"/>
      <c r="AE77" s="27"/>
      <c r="AF77" s="32" t="str">
        <f>IF(OR($AE77="",AND($B77="",$C77="")),"",IF(ISERROR(VLOOKUP(AL77,Coeficientes!$A:$C,3,1)),0.05,VLOOKUP(AL77,Coeficientes!$A:$C,3,1)))</f>
        <v/>
      </c>
      <c r="AG77" s="12" t="str">
        <f t="shared" si="32"/>
        <v/>
      </c>
      <c r="AH77" s="30"/>
      <c r="AI77" s="31"/>
      <c r="AJ77" s="48" t="str">
        <f t="shared" si="45"/>
        <v/>
      </c>
      <c r="AK77" s="48" t="str">
        <f t="shared" si="46"/>
        <v/>
      </c>
      <c r="AL77" s="48" t="str">
        <f t="shared" si="47"/>
        <v/>
      </c>
      <c r="AM77" s="48" t="str">
        <f>IF(AND($B77="",$C77=""),"",VLOOKUP($AF77,Coeficientes!$C:$D,2,0))</f>
        <v/>
      </c>
      <c r="AN77" s="48" t="str">
        <f t="shared" si="48"/>
        <v/>
      </c>
      <c r="AO77" s="48" t="str">
        <f t="shared" si="49"/>
        <v/>
      </c>
      <c r="AP77" s="48" t="str">
        <f t="shared" si="50"/>
        <v/>
      </c>
      <c r="AQ77" s="48" t="str">
        <f t="shared" si="51"/>
        <v/>
      </c>
      <c r="AR77" s="48" t="str">
        <f t="shared" si="52"/>
        <v/>
      </c>
      <c r="AS77" s="48" t="str">
        <f t="shared" si="53"/>
        <v/>
      </c>
      <c r="AT77" s="48" t="str">
        <f t="shared" si="54"/>
        <v/>
      </c>
      <c r="AU77" s="48" t="str">
        <f t="shared" si="55"/>
        <v/>
      </c>
      <c r="AV77" s="48" t="str">
        <f t="shared" si="56"/>
        <v/>
      </c>
      <c r="AW77" s="48" t="str">
        <f t="shared" si="57"/>
        <v/>
      </c>
      <c r="AX77" s="48" t="str">
        <f t="shared" si="58"/>
        <v/>
      </c>
      <c r="AY77" s="48" t="str">
        <f t="shared" si="59"/>
        <v/>
      </c>
      <c r="AZ77" s="48" t="str">
        <f t="shared" si="60"/>
        <v/>
      </c>
      <c r="BA77" s="48" t="str">
        <f t="shared" si="61"/>
        <v/>
      </c>
      <c r="BB77" s="48" t="str">
        <f t="shared" si="62"/>
        <v/>
      </c>
    </row>
    <row r="78" spans="1:54" x14ac:dyDescent="0.2">
      <c r="A78" s="30"/>
      <c r="B78" s="23"/>
      <c r="C78" s="23"/>
      <c r="D78" s="24"/>
      <c r="E78" s="24"/>
      <c r="F78" s="24"/>
      <c r="G78" s="24"/>
      <c r="H78" s="10" t="str">
        <f t="shared" si="33"/>
        <v/>
      </c>
      <c r="I78" s="10" t="str">
        <f t="shared" si="34"/>
        <v/>
      </c>
      <c r="J78" s="24"/>
      <c r="K78" s="13" t="str">
        <f t="shared" si="35"/>
        <v/>
      </c>
      <c r="L78" s="13" t="str">
        <f t="shared" si="36"/>
        <v/>
      </c>
      <c r="M78" s="25"/>
      <c r="N78" s="25"/>
      <c r="O78" s="22"/>
      <c r="P78" s="11" t="str">
        <f t="shared" si="37"/>
        <v/>
      </c>
      <c r="Q78" s="26"/>
      <c r="R78" s="22"/>
      <c r="S78" s="29" t="str">
        <f t="shared" si="38"/>
        <v/>
      </c>
      <c r="T78" s="12" t="str">
        <f t="shared" si="39"/>
        <v/>
      </c>
      <c r="U78" s="12" t="str">
        <f t="shared" si="40"/>
        <v/>
      </c>
      <c r="V78" s="12" t="str">
        <f>IF(AND($B78="",$C78=""),"",HLOOKUP(VLOOKUP($B$1,'Cidade-ER'!$A:$B,2,0),$AP$6:$BB78,ROW()-5,0))</f>
        <v/>
      </c>
      <c r="W78" s="12" t="str">
        <f t="shared" si="41"/>
        <v/>
      </c>
      <c r="X78" s="12" t="str">
        <f t="shared" si="42"/>
        <v/>
      </c>
      <c r="Y78" s="14" t="str">
        <f t="shared" si="43"/>
        <v/>
      </c>
      <c r="Z78" s="12" t="str">
        <f t="shared" si="44"/>
        <v/>
      </c>
      <c r="AA78" s="12" t="str">
        <f>IF(AND($B78="",$C78=""),"",(Sarjeta!$C$17^(5/3))*(Sarjeta!$C$16^(-2/3))*(ABS($K78)^0.5)/Sarjeta!$C$14*1000*2)</f>
        <v/>
      </c>
      <c r="AB78" s="12" t="str">
        <f>IF(AND($B78="",$C78=""),"",(Sarjeta!$C$17/Sarjeta!$C$16)^(2/3)*(ABS($K78)^0.5)/Sarjeta!$C$14)</f>
        <v/>
      </c>
      <c r="AC78" s="36" t="str">
        <f>IF(AND($B78="",$C78=""),"",IF(Z78&lt;AA78,0,MAX(ROUND(Z78/AA78,0)*2,ROUNDUP(ROUND(Z78/Sarjeta!$C$19,0)/2,0)*2)))</f>
        <v/>
      </c>
      <c r="AD78" s="26"/>
      <c r="AE78" s="27"/>
      <c r="AF78" s="32" t="str">
        <f>IF(OR($AE78="",AND($B78="",$C78="")),"",IF(ISERROR(VLOOKUP(AL78,Coeficientes!$A:$C,3,1)),0.05,VLOOKUP(AL78,Coeficientes!$A:$C,3,1)))</f>
        <v/>
      </c>
      <c r="AG78" s="12" t="str">
        <f t="shared" si="32"/>
        <v/>
      </c>
      <c r="AH78" s="30"/>
      <c r="AI78" s="31"/>
      <c r="AJ78" s="48" t="str">
        <f t="shared" si="45"/>
        <v/>
      </c>
      <c r="AK78" s="48" t="str">
        <f t="shared" si="46"/>
        <v/>
      </c>
      <c r="AL78" s="48" t="str">
        <f t="shared" si="47"/>
        <v/>
      </c>
      <c r="AM78" s="48" t="str">
        <f>IF(AND($B78="",$C78=""),"",VLOOKUP($AF78,Coeficientes!$C:$D,2,0))</f>
        <v/>
      </c>
      <c r="AN78" s="48" t="str">
        <f t="shared" si="48"/>
        <v/>
      </c>
      <c r="AO78" s="48" t="str">
        <f t="shared" si="49"/>
        <v/>
      </c>
      <c r="AP78" s="48" t="str">
        <f t="shared" si="50"/>
        <v/>
      </c>
      <c r="AQ78" s="48" t="str">
        <f t="shared" si="51"/>
        <v/>
      </c>
      <c r="AR78" s="48" t="str">
        <f t="shared" si="52"/>
        <v/>
      </c>
      <c r="AS78" s="48" t="str">
        <f t="shared" si="53"/>
        <v/>
      </c>
      <c r="AT78" s="48" t="str">
        <f t="shared" si="54"/>
        <v/>
      </c>
      <c r="AU78" s="48" t="str">
        <f t="shared" si="55"/>
        <v/>
      </c>
      <c r="AV78" s="48" t="str">
        <f t="shared" si="56"/>
        <v/>
      </c>
      <c r="AW78" s="48" t="str">
        <f t="shared" si="57"/>
        <v/>
      </c>
      <c r="AX78" s="48" t="str">
        <f t="shared" si="58"/>
        <v/>
      </c>
      <c r="AY78" s="48" t="str">
        <f t="shared" si="59"/>
        <v/>
      </c>
      <c r="AZ78" s="48" t="str">
        <f t="shared" si="60"/>
        <v/>
      </c>
      <c r="BA78" s="48" t="str">
        <f t="shared" si="61"/>
        <v/>
      </c>
      <c r="BB78" s="48" t="str">
        <f t="shared" si="62"/>
        <v/>
      </c>
    </row>
    <row r="79" spans="1:54" x14ac:dyDescent="0.2">
      <c r="A79" s="30"/>
      <c r="B79" s="23"/>
      <c r="C79" s="23"/>
      <c r="D79" s="24"/>
      <c r="E79" s="24"/>
      <c r="F79" s="24"/>
      <c r="G79" s="24"/>
      <c r="H79" s="10" t="str">
        <f t="shared" si="33"/>
        <v/>
      </c>
      <c r="I79" s="10" t="str">
        <f t="shared" si="34"/>
        <v/>
      </c>
      <c r="J79" s="24"/>
      <c r="K79" s="13" t="str">
        <f t="shared" si="35"/>
        <v/>
      </c>
      <c r="L79" s="13" t="str">
        <f t="shared" si="36"/>
        <v/>
      </c>
      <c r="M79" s="25"/>
      <c r="N79" s="25"/>
      <c r="O79" s="22"/>
      <c r="P79" s="11" t="str">
        <f t="shared" si="37"/>
        <v/>
      </c>
      <c r="Q79" s="26"/>
      <c r="R79" s="22"/>
      <c r="S79" s="29" t="str">
        <f t="shared" si="38"/>
        <v/>
      </c>
      <c r="T79" s="12" t="str">
        <f t="shared" si="39"/>
        <v/>
      </c>
      <c r="U79" s="12" t="str">
        <f t="shared" si="40"/>
        <v/>
      </c>
      <c r="V79" s="12" t="str">
        <f>IF(AND($B79="",$C79=""),"",HLOOKUP(VLOOKUP($B$1,'Cidade-ER'!$A:$B,2,0),$AP$6:$BB79,ROW()-5,0))</f>
        <v/>
      </c>
      <c r="W79" s="12" t="str">
        <f t="shared" si="41"/>
        <v/>
      </c>
      <c r="X79" s="12" t="str">
        <f t="shared" si="42"/>
        <v/>
      </c>
      <c r="Y79" s="14" t="str">
        <f t="shared" si="43"/>
        <v/>
      </c>
      <c r="Z79" s="12" t="str">
        <f t="shared" si="44"/>
        <v/>
      </c>
      <c r="AA79" s="12" t="str">
        <f>IF(AND($B79="",$C79=""),"",(Sarjeta!$C$17^(5/3))*(Sarjeta!$C$16^(-2/3))*(ABS($K79)^0.5)/Sarjeta!$C$14*1000*2)</f>
        <v/>
      </c>
      <c r="AB79" s="12" t="str">
        <f>IF(AND($B79="",$C79=""),"",(Sarjeta!$C$17/Sarjeta!$C$16)^(2/3)*(ABS($K79)^0.5)/Sarjeta!$C$14)</f>
        <v/>
      </c>
      <c r="AC79" s="36" t="str">
        <f>IF(AND($B79="",$C79=""),"",IF(Z79&lt;AA79,0,MAX(ROUND(Z79/AA79,0)*2,ROUNDUP(ROUND(Z79/Sarjeta!$C$19,0)/2,0)*2)))</f>
        <v/>
      </c>
      <c r="AD79" s="26"/>
      <c r="AE79" s="27"/>
      <c r="AF79" s="32" t="str">
        <f>IF(OR($AE79="",AND($B79="",$C79="")),"",IF(ISERROR(VLOOKUP(AL79,Coeficientes!$A:$C,3,1)),0.05,VLOOKUP(AL79,Coeficientes!$A:$C,3,1)))</f>
        <v/>
      </c>
      <c r="AG79" s="12" t="str">
        <f t="shared" si="32"/>
        <v/>
      </c>
      <c r="AH79" s="30"/>
      <c r="AI79" s="31"/>
      <c r="AJ79" s="48" t="str">
        <f t="shared" si="45"/>
        <v/>
      </c>
      <c r="AK79" s="48" t="str">
        <f t="shared" si="46"/>
        <v/>
      </c>
      <c r="AL79" s="48" t="str">
        <f t="shared" si="47"/>
        <v/>
      </c>
      <c r="AM79" s="48" t="str">
        <f>IF(AND($B79="",$C79=""),"",VLOOKUP($AF79,Coeficientes!$C:$D,2,0))</f>
        <v/>
      </c>
      <c r="AN79" s="48" t="str">
        <f t="shared" si="48"/>
        <v/>
      </c>
      <c r="AO79" s="48" t="str">
        <f t="shared" si="49"/>
        <v/>
      </c>
      <c r="AP79" s="48" t="str">
        <f t="shared" si="50"/>
        <v/>
      </c>
      <c r="AQ79" s="48" t="str">
        <f t="shared" si="51"/>
        <v/>
      </c>
      <c r="AR79" s="48" t="str">
        <f t="shared" si="52"/>
        <v/>
      </c>
      <c r="AS79" s="48" t="str">
        <f t="shared" si="53"/>
        <v/>
      </c>
      <c r="AT79" s="48" t="str">
        <f t="shared" si="54"/>
        <v/>
      </c>
      <c r="AU79" s="48" t="str">
        <f t="shared" si="55"/>
        <v/>
      </c>
      <c r="AV79" s="48" t="str">
        <f t="shared" si="56"/>
        <v/>
      </c>
      <c r="AW79" s="48" t="str">
        <f t="shared" si="57"/>
        <v/>
      </c>
      <c r="AX79" s="48" t="str">
        <f t="shared" si="58"/>
        <v/>
      </c>
      <c r="AY79" s="48" t="str">
        <f t="shared" si="59"/>
        <v/>
      </c>
      <c r="AZ79" s="48" t="str">
        <f t="shared" si="60"/>
        <v/>
      </c>
      <c r="BA79" s="48" t="str">
        <f t="shared" si="61"/>
        <v/>
      </c>
      <c r="BB79" s="48" t="str">
        <f t="shared" si="62"/>
        <v/>
      </c>
    </row>
    <row r="80" spans="1:54" x14ac:dyDescent="0.2">
      <c r="A80" s="30"/>
      <c r="B80" s="23"/>
      <c r="C80" s="23"/>
      <c r="D80" s="24"/>
      <c r="E80" s="24"/>
      <c r="F80" s="24"/>
      <c r="G80" s="24"/>
      <c r="H80" s="10" t="str">
        <f t="shared" si="33"/>
        <v/>
      </c>
      <c r="I80" s="10" t="str">
        <f t="shared" si="34"/>
        <v/>
      </c>
      <c r="J80" s="24"/>
      <c r="K80" s="13" t="str">
        <f t="shared" si="35"/>
        <v/>
      </c>
      <c r="L80" s="13" t="str">
        <f t="shared" si="36"/>
        <v/>
      </c>
      <c r="M80" s="25"/>
      <c r="N80" s="25"/>
      <c r="O80" s="22"/>
      <c r="P80" s="11" t="str">
        <f t="shared" si="37"/>
        <v/>
      </c>
      <c r="Q80" s="26"/>
      <c r="R80" s="22"/>
      <c r="S80" s="29" t="str">
        <f t="shared" si="38"/>
        <v/>
      </c>
      <c r="T80" s="12" t="str">
        <f t="shared" si="39"/>
        <v/>
      </c>
      <c r="U80" s="12" t="str">
        <f t="shared" si="40"/>
        <v/>
      </c>
      <c r="V80" s="12" t="str">
        <f>IF(AND($B80="",$C80=""),"",HLOOKUP(VLOOKUP($B$1,'Cidade-ER'!$A:$B,2,0),$AP$6:$BB80,ROW()-5,0))</f>
        <v/>
      </c>
      <c r="W80" s="12" t="str">
        <f t="shared" si="41"/>
        <v/>
      </c>
      <c r="X80" s="12" t="str">
        <f t="shared" si="42"/>
        <v/>
      </c>
      <c r="Y80" s="14" t="str">
        <f t="shared" si="43"/>
        <v/>
      </c>
      <c r="Z80" s="12" t="str">
        <f t="shared" si="44"/>
        <v/>
      </c>
      <c r="AA80" s="12" t="str">
        <f>IF(AND($B80="",$C80=""),"",(Sarjeta!$C$17^(5/3))*(Sarjeta!$C$16^(-2/3))*(ABS($K80)^0.5)/Sarjeta!$C$14*1000*2)</f>
        <v/>
      </c>
      <c r="AB80" s="12" t="str">
        <f>IF(AND($B80="",$C80=""),"",(Sarjeta!$C$17/Sarjeta!$C$16)^(2/3)*(ABS($K80)^0.5)/Sarjeta!$C$14)</f>
        <v/>
      </c>
      <c r="AC80" s="36" t="str">
        <f>IF(AND($B80="",$C80=""),"",IF(Z80&lt;AA80,0,MAX(ROUND(Z80/AA80,0)*2,ROUNDUP(ROUND(Z80/Sarjeta!$C$19,0)/2,0)*2)))</f>
        <v/>
      </c>
      <c r="AD80" s="26"/>
      <c r="AE80" s="27"/>
      <c r="AF80" s="32" t="str">
        <f>IF(OR($AE80="",AND($B80="",$C80="")),"",IF(ISERROR(VLOOKUP(AL80,Coeficientes!$A:$C,3,1)),0.05,VLOOKUP(AL80,Coeficientes!$A:$C,3,1)))</f>
        <v/>
      </c>
      <c r="AG80" s="12" t="str">
        <f t="shared" si="32"/>
        <v/>
      </c>
      <c r="AH80" s="30"/>
      <c r="AI80" s="31"/>
      <c r="AJ80" s="48" t="str">
        <f t="shared" si="45"/>
        <v/>
      </c>
      <c r="AK80" s="48" t="str">
        <f t="shared" si="46"/>
        <v/>
      </c>
      <c r="AL80" s="48" t="str">
        <f t="shared" si="47"/>
        <v/>
      </c>
      <c r="AM80" s="48" t="str">
        <f>IF(AND($B80="",$C80=""),"",VLOOKUP($AF80,Coeficientes!$C:$D,2,0))</f>
        <v/>
      </c>
      <c r="AN80" s="48" t="str">
        <f t="shared" si="48"/>
        <v/>
      </c>
      <c r="AO80" s="48" t="str">
        <f t="shared" si="49"/>
        <v/>
      </c>
      <c r="AP80" s="48" t="str">
        <f t="shared" si="50"/>
        <v/>
      </c>
      <c r="AQ80" s="48" t="str">
        <f t="shared" si="51"/>
        <v/>
      </c>
      <c r="AR80" s="48" t="str">
        <f t="shared" si="52"/>
        <v/>
      </c>
      <c r="AS80" s="48" t="str">
        <f t="shared" si="53"/>
        <v/>
      </c>
      <c r="AT80" s="48" t="str">
        <f t="shared" si="54"/>
        <v/>
      </c>
      <c r="AU80" s="48" t="str">
        <f t="shared" si="55"/>
        <v/>
      </c>
      <c r="AV80" s="48" t="str">
        <f t="shared" si="56"/>
        <v/>
      </c>
      <c r="AW80" s="48" t="str">
        <f t="shared" si="57"/>
        <v/>
      </c>
      <c r="AX80" s="48" t="str">
        <f t="shared" si="58"/>
        <v/>
      </c>
      <c r="AY80" s="48" t="str">
        <f t="shared" si="59"/>
        <v/>
      </c>
      <c r="AZ80" s="48" t="str">
        <f t="shared" si="60"/>
        <v/>
      </c>
      <c r="BA80" s="48" t="str">
        <f t="shared" si="61"/>
        <v/>
      </c>
      <c r="BB80" s="48" t="str">
        <f t="shared" si="62"/>
        <v/>
      </c>
    </row>
    <row r="81" spans="1:54" x14ac:dyDescent="0.2">
      <c r="A81" s="30"/>
      <c r="B81" s="23"/>
      <c r="C81" s="23"/>
      <c r="D81" s="24"/>
      <c r="E81" s="24"/>
      <c r="F81" s="24"/>
      <c r="G81" s="24"/>
      <c r="H81" s="10" t="str">
        <f t="shared" si="33"/>
        <v/>
      </c>
      <c r="I81" s="10" t="str">
        <f t="shared" si="34"/>
        <v/>
      </c>
      <c r="J81" s="24"/>
      <c r="K81" s="13" t="str">
        <f t="shared" si="35"/>
        <v/>
      </c>
      <c r="L81" s="13" t="str">
        <f t="shared" si="36"/>
        <v/>
      </c>
      <c r="M81" s="25"/>
      <c r="N81" s="25"/>
      <c r="O81" s="22"/>
      <c r="P81" s="11" t="str">
        <f t="shared" si="37"/>
        <v/>
      </c>
      <c r="Q81" s="26"/>
      <c r="R81" s="22"/>
      <c r="S81" s="29" t="str">
        <f t="shared" si="38"/>
        <v/>
      </c>
      <c r="T81" s="12" t="str">
        <f t="shared" si="39"/>
        <v/>
      </c>
      <c r="U81" s="12" t="str">
        <f t="shared" si="40"/>
        <v/>
      </c>
      <c r="V81" s="12" t="str">
        <f>IF(AND($B81="",$C81=""),"",HLOOKUP(VLOOKUP($B$1,'Cidade-ER'!$A:$B,2,0),$AP$6:$BB81,ROW()-5,0))</f>
        <v/>
      </c>
      <c r="W81" s="12" t="str">
        <f t="shared" si="41"/>
        <v/>
      </c>
      <c r="X81" s="12" t="str">
        <f t="shared" si="42"/>
        <v/>
      </c>
      <c r="Y81" s="14" t="str">
        <f t="shared" si="43"/>
        <v/>
      </c>
      <c r="Z81" s="12" t="str">
        <f t="shared" si="44"/>
        <v/>
      </c>
      <c r="AA81" s="12" t="str">
        <f>IF(AND($B81="",$C81=""),"",(Sarjeta!$C$17^(5/3))*(Sarjeta!$C$16^(-2/3))*(ABS($K81)^0.5)/Sarjeta!$C$14*1000*2)</f>
        <v/>
      </c>
      <c r="AB81" s="12" t="str">
        <f>IF(AND($B81="",$C81=""),"",(Sarjeta!$C$17/Sarjeta!$C$16)^(2/3)*(ABS($K81)^0.5)/Sarjeta!$C$14)</f>
        <v/>
      </c>
      <c r="AC81" s="36" t="str">
        <f>IF(AND($B81="",$C81=""),"",IF(Z81&lt;AA81,0,MAX(ROUND(Z81/AA81,0)*2,ROUNDUP(ROUND(Z81/Sarjeta!$C$19,0)/2,0)*2)))</f>
        <v/>
      </c>
      <c r="AD81" s="26"/>
      <c r="AE81" s="27"/>
      <c r="AF81" s="32" t="str">
        <f>IF(OR($AE81="",AND($B81="",$C81="")),"",IF(ISERROR(VLOOKUP(AL81,Coeficientes!$A:$C,3,1)),0.05,VLOOKUP(AL81,Coeficientes!$A:$C,3,1)))</f>
        <v/>
      </c>
      <c r="AG81" s="12" t="str">
        <f t="shared" si="32"/>
        <v/>
      </c>
      <c r="AH81" s="30"/>
      <c r="AI81" s="31"/>
      <c r="AJ81" s="48" t="str">
        <f t="shared" si="45"/>
        <v/>
      </c>
      <c r="AK81" s="48" t="str">
        <f t="shared" si="46"/>
        <v/>
      </c>
      <c r="AL81" s="48" t="str">
        <f t="shared" si="47"/>
        <v/>
      </c>
      <c r="AM81" s="48" t="str">
        <f>IF(AND($B81="",$C81=""),"",VLOOKUP($AF81,Coeficientes!$C:$D,2,0))</f>
        <v/>
      </c>
      <c r="AN81" s="48" t="str">
        <f t="shared" si="48"/>
        <v/>
      </c>
      <c r="AO81" s="48" t="str">
        <f t="shared" si="49"/>
        <v/>
      </c>
      <c r="AP81" s="48" t="str">
        <f t="shared" si="50"/>
        <v/>
      </c>
      <c r="AQ81" s="48" t="str">
        <f t="shared" si="51"/>
        <v/>
      </c>
      <c r="AR81" s="48" t="str">
        <f t="shared" si="52"/>
        <v/>
      </c>
      <c r="AS81" s="48" t="str">
        <f t="shared" si="53"/>
        <v/>
      </c>
      <c r="AT81" s="48" t="str">
        <f t="shared" si="54"/>
        <v/>
      </c>
      <c r="AU81" s="48" t="str">
        <f t="shared" si="55"/>
        <v/>
      </c>
      <c r="AV81" s="48" t="str">
        <f t="shared" si="56"/>
        <v/>
      </c>
      <c r="AW81" s="48" t="str">
        <f t="shared" si="57"/>
        <v/>
      </c>
      <c r="AX81" s="48" t="str">
        <f t="shared" si="58"/>
        <v/>
      </c>
      <c r="AY81" s="48" t="str">
        <f t="shared" si="59"/>
        <v/>
      </c>
      <c r="AZ81" s="48" t="str">
        <f t="shared" si="60"/>
        <v/>
      </c>
      <c r="BA81" s="48" t="str">
        <f t="shared" si="61"/>
        <v/>
      </c>
      <c r="BB81" s="48" t="str">
        <f t="shared" si="62"/>
        <v/>
      </c>
    </row>
    <row r="82" spans="1:54" x14ac:dyDescent="0.2">
      <c r="A82" s="30"/>
      <c r="B82" s="23"/>
      <c r="C82" s="23"/>
      <c r="D82" s="24"/>
      <c r="E82" s="24"/>
      <c r="F82" s="24"/>
      <c r="G82" s="24"/>
      <c r="H82" s="10" t="str">
        <f t="shared" si="33"/>
        <v/>
      </c>
      <c r="I82" s="10" t="str">
        <f t="shared" si="34"/>
        <v/>
      </c>
      <c r="J82" s="24"/>
      <c r="K82" s="13" t="str">
        <f t="shared" si="35"/>
        <v/>
      </c>
      <c r="L82" s="13" t="str">
        <f t="shared" si="36"/>
        <v/>
      </c>
      <c r="M82" s="25"/>
      <c r="N82" s="25"/>
      <c r="O82" s="22"/>
      <c r="P82" s="11" t="str">
        <f t="shared" si="37"/>
        <v/>
      </c>
      <c r="Q82" s="26"/>
      <c r="R82" s="22"/>
      <c r="S82" s="29" t="str">
        <f t="shared" si="38"/>
        <v/>
      </c>
      <c r="T82" s="12" t="str">
        <f t="shared" si="39"/>
        <v/>
      </c>
      <c r="U82" s="12" t="str">
        <f t="shared" si="40"/>
        <v/>
      </c>
      <c r="V82" s="12" t="str">
        <f>IF(AND($B82="",$C82=""),"",HLOOKUP(VLOOKUP($B$1,'Cidade-ER'!$A:$B,2,0),$AP$6:$BB82,ROW()-5,0))</f>
        <v/>
      </c>
      <c r="W82" s="12" t="str">
        <f t="shared" si="41"/>
        <v/>
      </c>
      <c r="X82" s="12" t="str">
        <f t="shared" si="42"/>
        <v/>
      </c>
      <c r="Y82" s="14" t="str">
        <f t="shared" si="43"/>
        <v/>
      </c>
      <c r="Z82" s="12" t="str">
        <f t="shared" si="44"/>
        <v/>
      </c>
      <c r="AA82" s="12" t="str">
        <f>IF(AND($B82="",$C82=""),"",(Sarjeta!$C$17^(5/3))*(Sarjeta!$C$16^(-2/3))*(ABS($K82)^0.5)/Sarjeta!$C$14*1000*2)</f>
        <v/>
      </c>
      <c r="AB82" s="12" t="str">
        <f>IF(AND($B82="",$C82=""),"",(Sarjeta!$C$17/Sarjeta!$C$16)^(2/3)*(ABS($K82)^0.5)/Sarjeta!$C$14)</f>
        <v/>
      </c>
      <c r="AC82" s="36" t="str">
        <f>IF(AND($B82="",$C82=""),"",IF(Z82&lt;AA82,0,MAX(ROUND(Z82/AA82,0)*2,ROUNDUP(ROUND(Z82/Sarjeta!$C$19,0)/2,0)*2)))</f>
        <v/>
      </c>
      <c r="AD82" s="26"/>
      <c r="AE82" s="27"/>
      <c r="AF82" s="32" t="str">
        <f>IF(OR($AE82="",AND($B82="",$C82="")),"",IF(ISERROR(VLOOKUP(AL82,Coeficientes!$A:$C,3,1)),0.05,VLOOKUP(AL82,Coeficientes!$A:$C,3,1)))</f>
        <v/>
      </c>
      <c r="AG82" s="12" t="str">
        <f t="shared" si="32"/>
        <v/>
      </c>
      <c r="AH82" s="30"/>
      <c r="AI82" s="31"/>
      <c r="AJ82" s="48" t="str">
        <f t="shared" si="45"/>
        <v/>
      </c>
      <c r="AK82" s="48" t="str">
        <f t="shared" si="46"/>
        <v/>
      </c>
      <c r="AL82" s="48" t="str">
        <f t="shared" si="47"/>
        <v/>
      </c>
      <c r="AM82" s="48" t="str">
        <f>IF(AND($B82="",$C82=""),"",VLOOKUP($AF82,Coeficientes!$C:$D,2,0))</f>
        <v/>
      </c>
      <c r="AN82" s="48" t="str">
        <f t="shared" si="48"/>
        <v/>
      </c>
      <c r="AO82" s="48" t="str">
        <f t="shared" si="49"/>
        <v/>
      </c>
      <c r="AP82" s="48" t="str">
        <f t="shared" si="50"/>
        <v/>
      </c>
      <c r="AQ82" s="48" t="str">
        <f t="shared" si="51"/>
        <v/>
      </c>
      <c r="AR82" s="48" t="str">
        <f t="shared" si="52"/>
        <v/>
      </c>
      <c r="AS82" s="48" t="str">
        <f t="shared" si="53"/>
        <v/>
      </c>
      <c r="AT82" s="48" t="str">
        <f t="shared" si="54"/>
        <v/>
      </c>
      <c r="AU82" s="48" t="str">
        <f t="shared" si="55"/>
        <v/>
      </c>
      <c r="AV82" s="48" t="str">
        <f t="shared" si="56"/>
        <v/>
      </c>
      <c r="AW82" s="48" t="str">
        <f t="shared" si="57"/>
        <v/>
      </c>
      <c r="AX82" s="48" t="str">
        <f t="shared" si="58"/>
        <v/>
      </c>
      <c r="AY82" s="48" t="str">
        <f t="shared" si="59"/>
        <v/>
      </c>
      <c r="AZ82" s="48" t="str">
        <f t="shared" si="60"/>
        <v/>
      </c>
      <c r="BA82" s="48" t="str">
        <f t="shared" si="61"/>
        <v/>
      </c>
      <c r="BB82" s="48" t="str">
        <f t="shared" si="62"/>
        <v/>
      </c>
    </row>
    <row r="83" spans="1:54" x14ac:dyDescent="0.2">
      <c r="A83" s="30"/>
      <c r="B83" s="23"/>
      <c r="C83" s="23"/>
      <c r="D83" s="24"/>
      <c r="E83" s="24"/>
      <c r="F83" s="24"/>
      <c r="G83" s="24"/>
      <c r="H83" s="10" t="str">
        <f t="shared" si="33"/>
        <v/>
      </c>
      <c r="I83" s="10" t="str">
        <f t="shared" si="34"/>
        <v/>
      </c>
      <c r="J83" s="24"/>
      <c r="K83" s="13" t="str">
        <f t="shared" si="35"/>
        <v/>
      </c>
      <c r="L83" s="13" t="str">
        <f t="shared" si="36"/>
        <v/>
      </c>
      <c r="M83" s="25"/>
      <c r="N83" s="25"/>
      <c r="O83" s="22"/>
      <c r="P83" s="11" t="str">
        <f t="shared" si="37"/>
        <v/>
      </c>
      <c r="Q83" s="26"/>
      <c r="R83" s="22"/>
      <c r="S83" s="29" t="str">
        <f t="shared" si="38"/>
        <v/>
      </c>
      <c r="T83" s="12" t="str">
        <f t="shared" si="39"/>
        <v/>
      </c>
      <c r="U83" s="12" t="str">
        <f t="shared" si="40"/>
        <v/>
      </c>
      <c r="V83" s="12" t="str">
        <f>IF(AND($B83="",$C83=""),"",HLOOKUP(VLOOKUP($B$1,'Cidade-ER'!$A:$B,2,0),$AP$6:$BB83,ROW()-5,0))</f>
        <v/>
      </c>
      <c r="W83" s="12" t="str">
        <f t="shared" si="41"/>
        <v/>
      </c>
      <c r="X83" s="12" t="str">
        <f t="shared" si="42"/>
        <v/>
      </c>
      <c r="Y83" s="14" t="str">
        <f t="shared" si="43"/>
        <v/>
      </c>
      <c r="Z83" s="12" t="str">
        <f t="shared" si="44"/>
        <v/>
      </c>
      <c r="AA83" s="12" t="str">
        <f>IF(AND($B83="",$C83=""),"",(Sarjeta!$C$17^(5/3))*(Sarjeta!$C$16^(-2/3))*(ABS($K83)^0.5)/Sarjeta!$C$14*1000*2)</f>
        <v/>
      </c>
      <c r="AB83" s="12" t="str">
        <f>IF(AND($B83="",$C83=""),"",(Sarjeta!$C$17/Sarjeta!$C$16)^(2/3)*(ABS($K83)^0.5)/Sarjeta!$C$14)</f>
        <v/>
      </c>
      <c r="AC83" s="36" t="str">
        <f>IF(AND($B83="",$C83=""),"",IF(Z83&lt;AA83,0,MAX(ROUND(Z83/AA83,0)*2,ROUNDUP(ROUND(Z83/Sarjeta!$C$19,0)/2,0)*2)))</f>
        <v/>
      </c>
      <c r="AD83" s="26"/>
      <c r="AE83" s="27"/>
      <c r="AF83" s="32" t="str">
        <f>IF(OR($AE83="",AND($B83="",$C83="")),"",IF(ISERROR(VLOOKUP(AL83,Coeficientes!$A:$C,3,1)),0.05,VLOOKUP(AL83,Coeficientes!$A:$C,3,1)))</f>
        <v/>
      </c>
      <c r="AG83" s="12" t="str">
        <f t="shared" si="32"/>
        <v/>
      </c>
      <c r="AH83" s="30"/>
      <c r="AI83" s="31"/>
      <c r="AJ83" s="48" t="str">
        <f t="shared" si="45"/>
        <v/>
      </c>
      <c r="AK83" s="48" t="str">
        <f t="shared" si="46"/>
        <v/>
      </c>
      <c r="AL83" s="48" t="str">
        <f t="shared" si="47"/>
        <v/>
      </c>
      <c r="AM83" s="48" t="str">
        <f>IF(AND($B83="",$C83=""),"",VLOOKUP($AF83,Coeficientes!$C:$D,2,0))</f>
        <v/>
      </c>
      <c r="AN83" s="48" t="str">
        <f t="shared" si="48"/>
        <v/>
      </c>
      <c r="AO83" s="48" t="str">
        <f t="shared" si="49"/>
        <v/>
      </c>
      <c r="AP83" s="48" t="str">
        <f t="shared" si="50"/>
        <v/>
      </c>
      <c r="AQ83" s="48" t="str">
        <f t="shared" si="51"/>
        <v/>
      </c>
      <c r="AR83" s="48" t="str">
        <f t="shared" si="52"/>
        <v/>
      </c>
      <c r="AS83" s="48" t="str">
        <f t="shared" si="53"/>
        <v/>
      </c>
      <c r="AT83" s="48" t="str">
        <f t="shared" si="54"/>
        <v/>
      </c>
      <c r="AU83" s="48" t="str">
        <f t="shared" si="55"/>
        <v/>
      </c>
      <c r="AV83" s="48" t="str">
        <f t="shared" si="56"/>
        <v/>
      </c>
      <c r="AW83" s="48" t="str">
        <f t="shared" si="57"/>
        <v/>
      </c>
      <c r="AX83" s="48" t="str">
        <f t="shared" si="58"/>
        <v/>
      </c>
      <c r="AY83" s="48" t="str">
        <f t="shared" si="59"/>
        <v/>
      </c>
      <c r="AZ83" s="48" t="str">
        <f t="shared" si="60"/>
        <v/>
      </c>
      <c r="BA83" s="48" t="str">
        <f t="shared" si="61"/>
        <v/>
      </c>
      <c r="BB83" s="48" t="str">
        <f t="shared" si="62"/>
        <v/>
      </c>
    </row>
    <row r="84" spans="1:54" x14ac:dyDescent="0.2">
      <c r="A84" s="30"/>
      <c r="B84" s="23"/>
      <c r="C84" s="23"/>
      <c r="D84" s="24"/>
      <c r="E84" s="24"/>
      <c r="F84" s="24"/>
      <c r="G84" s="24"/>
      <c r="H84" s="10" t="str">
        <f t="shared" si="33"/>
        <v/>
      </c>
      <c r="I84" s="10" t="str">
        <f t="shared" si="34"/>
        <v/>
      </c>
      <c r="J84" s="24"/>
      <c r="K84" s="13" t="str">
        <f t="shared" si="35"/>
        <v/>
      </c>
      <c r="L84" s="13" t="str">
        <f t="shared" si="36"/>
        <v/>
      </c>
      <c r="M84" s="25"/>
      <c r="N84" s="25"/>
      <c r="O84" s="22"/>
      <c r="P84" s="11" t="str">
        <f t="shared" si="37"/>
        <v/>
      </c>
      <c r="Q84" s="26"/>
      <c r="R84" s="22"/>
      <c r="S84" s="29" t="str">
        <f t="shared" si="38"/>
        <v/>
      </c>
      <c r="T84" s="12" t="str">
        <f t="shared" si="39"/>
        <v/>
      </c>
      <c r="U84" s="12" t="str">
        <f t="shared" si="40"/>
        <v/>
      </c>
      <c r="V84" s="12" t="str">
        <f>IF(AND($B84="",$C84=""),"",HLOOKUP(VLOOKUP($B$1,'Cidade-ER'!$A:$B,2,0),$AP$6:$BB84,ROW()-5,0))</f>
        <v/>
      </c>
      <c r="W84" s="12" t="str">
        <f t="shared" si="41"/>
        <v/>
      </c>
      <c r="X84" s="12" t="str">
        <f t="shared" si="42"/>
        <v/>
      </c>
      <c r="Y84" s="14" t="str">
        <f t="shared" si="43"/>
        <v/>
      </c>
      <c r="Z84" s="12" t="str">
        <f t="shared" si="44"/>
        <v/>
      </c>
      <c r="AA84" s="12" t="str">
        <f>IF(AND($B84="",$C84=""),"",(Sarjeta!$C$17^(5/3))*(Sarjeta!$C$16^(-2/3))*(ABS($K84)^0.5)/Sarjeta!$C$14*1000*2)</f>
        <v/>
      </c>
      <c r="AB84" s="12" t="str">
        <f>IF(AND($B84="",$C84=""),"",(Sarjeta!$C$17/Sarjeta!$C$16)^(2/3)*(ABS($K84)^0.5)/Sarjeta!$C$14)</f>
        <v/>
      </c>
      <c r="AC84" s="36" t="str">
        <f>IF(AND($B84="",$C84=""),"",IF(Z84&lt;AA84,0,MAX(ROUND(Z84/AA84,0)*2,ROUNDUP(ROUND(Z84/Sarjeta!$C$19,0)/2,0)*2)))</f>
        <v/>
      </c>
      <c r="AD84" s="26"/>
      <c r="AE84" s="27"/>
      <c r="AF84" s="32" t="str">
        <f>IF(OR($AE84="",AND($B84="",$C84="")),"",IF(ISERROR(VLOOKUP(AL84,Coeficientes!$A:$C,3,1)),0.05,VLOOKUP(AL84,Coeficientes!$A:$C,3,1)))</f>
        <v/>
      </c>
      <c r="AG84" s="12" t="str">
        <f t="shared" si="32"/>
        <v/>
      </c>
      <c r="AH84" s="30"/>
      <c r="AI84" s="31"/>
      <c r="AJ84" s="48" t="str">
        <f t="shared" si="45"/>
        <v/>
      </c>
      <c r="AK84" s="48" t="str">
        <f t="shared" si="46"/>
        <v/>
      </c>
      <c r="AL84" s="48" t="str">
        <f t="shared" si="47"/>
        <v/>
      </c>
      <c r="AM84" s="48" t="str">
        <f>IF(AND($B84="",$C84=""),"",VLOOKUP($AF84,Coeficientes!$C:$D,2,0))</f>
        <v/>
      </c>
      <c r="AN84" s="48" t="str">
        <f t="shared" si="48"/>
        <v/>
      </c>
      <c r="AO84" s="48" t="str">
        <f t="shared" si="49"/>
        <v/>
      </c>
      <c r="AP84" s="48" t="str">
        <f t="shared" si="50"/>
        <v/>
      </c>
      <c r="AQ84" s="48" t="str">
        <f t="shared" si="51"/>
        <v/>
      </c>
      <c r="AR84" s="48" t="str">
        <f t="shared" si="52"/>
        <v/>
      </c>
      <c r="AS84" s="48" t="str">
        <f t="shared" si="53"/>
        <v/>
      </c>
      <c r="AT84" s="48" t="str">
        <f t="shared" si="54"/>
        <v/>
      </c>
      <c r="AU84" s="48" t="str">
        <f t="shared" si="55"/>
        <v/>
      </c>
      <c r="AV84" s="48" t="str">
        <f t="shared" si="56"/>
        <v/>
      </c>
      <c r="AW84" s="48" t="str">
        <f t="shared" si="57"/>
        <v/>
      </c>
      <c r="AX84" s="48" t="str">
        <f t="shared" si="58"/>
        <v/>
      </c>
      <c r="AY84" s="48" t="str">
        <f t="shared" si="59"/>
        <v/>
      </c>
      <c r="AZ84" s="48" t="str">
        <f t="shared" si="60"/>
        <v/>
      </c>
      <c r="BA84" s="48" t="str">
        <f t="shared" si="61"/>
        <v/>
      </c>
      <c r="BB84" s="48" t="str">
        <f t="shared" si="62"/>
        <v/>
      </c>
    </row>
    <row r="85" spans="1:54" x14ac:dyDescent="0.2">
      <c r="A85" s="30"/>
      <c r="B85" s="23"/>
      <c r="C85" s="23"/>
      <c r="D85" s="24"/>
      <c r="E85" s="24"/>
      <c r="F85" s="24"/>
      <c r="G85" s="24"/>
      <c r="H85" s="10" t="str">
        <f t="shared" si="33"/>
        <v/>
      </c>
      <c r="I85" s="10" t="str">
        <f t="shared" si="34"/>
        <v/>
      </c>
      <c r="J85" s="24"/>
      <c r="K85" s="13" t="str">
        <f t="shared" si="35"/>
        <v/>
      </c>
      <c r="L85" s="13" t="str">
        <f t="shared" si="36"/>
        <v/>
      </c>
      <c r="M85" s="25"/>
      <c r="N85" s="25"/>
      <c r="O85" s="22"/>
      <c r="P85" s="11" t="str">
        <f t="shared" si="37"/>
        <v/>
      </c>
      <c r="Q85" s="26"/>
      <c r="R85" s="22"/>
      <c r="S85" s="29" t="str">
        <f t="shared" si="38"/>
        <v/>
      </c>
      <c r="T85" s="12" t="str">
        <f t="shared" si="39"/>
        <v/>
      </c>
      <c r="U85" s="12" t="str">
        <f t="shared" si="40"/>
        <v/>
      </c>
      <c r="V85" s="12" t="str">
        <f>IF(AND($B85="",$C85=""),"",HLOOKUP(VLOOKUP($B$1,'Cidade-ER'!$A:$B,2,0),$AP$6:$BB85,ROW()-5,0))</f>
        <v/>
      </c>
      <c r="W85" s="12" t="str">
        <f t="shared" si="41"/>
        <v/>
      </c>
      <c r="X85" s="12" t="str">
        <f t="shared" si="42"/>
        <v/>
      </c>
      <c r="Y85" s="14" t="str">
        <f t="shared" si="43"/>
        <v/>
      </c>
      <c r="Z85" s="12" t="str">
        <f t="shared" si="44"/>
        <v/>
      </c>
      <c r="AA85" s="12" t="str">
        <f>IF(AND($B85="",$C85=""),"",(Sarjeta!$C$17^(5/3))*(Sarjeta!$C$16^(-2/3))*(ABS($K85)^0.5)/Sarjeta!$C$14*1000*2)</f>
        <v/>
      </c>
      <c r="AB85" s="12" t="str">
        <f>IF(AND($B85="",$C85=""),"",(Sarjeta!$C$17/Sarjeta!$C$16)^(2/3)*(ABS($K85)^0.5)/Sarjeta!$C$14)</f>
        <v/>
      </c>
      <c r="AC85" s="36" t="str">
        <f>IF(AND($B85="",$C85=""),"",IF(Z85&lt;AA85,0,MAX(ROUND(Z85/AA85,0)*2,ROUNDUP(ROUND(Z85/Sarjeta!$C$19,0)/2,0)*2)))</f>
        <v/>
      </c>
      <c r="AD85" s="26"/>
      <c r="AE85" s="27"/>
      <c r="AF85" s="32" t="str">
        <f>IF(OR($AE85="",AND($B85="",$C85="")),"",IF(ISERROR(VLOOKUP(AL85,Coeficientes!$A:$C,3,1)),0.05,VLOOKUP(AL85,Coeficientes!$A:$C,3,1)))</f>
        <v/>
      </c>
      <c r="AG85" s="12" t="str">
        <f t="shared" si="32"/>
        <v/>
      </c>
      <c r="AH85" s="30"/>
      <c r="AI85" s="31"/>
      <c r="AJ85" s="48" t="str">
        <f t="shared" si="45"/>
        <v/>
      </c>
      <c r="AK85" s="48" t="str">
        <f t="shared" si="46"/>
        <v/>
      </c>
      <c r="AL85" s="48" t="str">
        <f t="shared" si="47"/>
        <v/>
      </c>
      <c r="AM85" s="48" t="str">
        <f>IF(AND($B85="",$C85=""),"",VLOOKUP($AF85,Coeficientes!$C:$D,2,0))</f>
        <v/>
      </c>
      <c r="AN85" s="48" t="str">
        <f t="shared" si="48"/>
        <v/>
      </c>
      <c r="AO85" s="48" t="str">
        <f t="shared" si="49"/>
        <v/>
      </c>
      <c r="AP85" s="48" t="str">
        <f t="shared" si="50"/>
        <v/>
      </c>
      <c r="AQ85" s="48" t="str">
        <f t="shared" si="51"/>
        <v/>
      </c>
      <c r="AR85" s="48" t="str">
        <f t="shared" si="52"/>
        <v/>
      </c>
      <c r="AS85" s="48" t="str">
        <f t="shared" si="53"/>
        <v/>
      </c>
      <c r="AT85" s="48" t="str">
        <f t="shared" si="54"/>
        <v/>
      </c>
      <c r="AU85" s="48" t="str">
        <f t="shared" si="55"/>
        <v/>
      </c>
      <c r="AV85" s="48" t="str">
        <f t="shared" si="56"/>
        <v/>
      </c>
      <c r="AW85" s="48" t="str">
        <f t="shared" si="57"/>
        <v/>
      </c>
      <c r="AX85" s="48" t="str">
        <f t="shared" si="58"/>
        <v/>
      </c>
      <c r="AY85" s="48" t="str">
        <f t="shared" si="59"/>
        <v/>
      </c>
      <c r="AZ85" s="48" t="str">
        <f t="shared" si="60"/>
        <v/>
      </c>
      <c r="BA85" s="48" t="str">
        <f t="shared" si="61"/>
        <v/>
      </c>
      <c r="BB85" s="48" t="str">
        <f t="shared" si="62"/>
        <v/>
      </c>
    </row>
    <row r="86" spans="1:54" x14ac:dyDescent="0.2">
      <c r="A86" s="30"/>
      <c r="B86" s="23"/>
      <c r="C86" s="23"/>
      <c r="D86" s="24"/>
      <c r="E86" s="24"/>
      <c r="F86" s="24"/>
      <c r="G86" s="24"/>
      <c r="H86" s="10" t="str">
        <f t="shared" si="33"/>
        <v/>
      </c>
      <c r="I86" s="10" t="str">
        <f t="shared" si="34"/>
        <v/>
      </c>
      <c r="J86" s="24"/>
      <c r="K86" s="13" t="str">
        <f t="shared" si="35"/>
        <v/>
      </c>
      <c r="L86" s="13" t="str">
        <f t="shared" si="36"/>
        <v/>
      </c>
      <c r="M86" s="25"/>
      <c r="N86" s="25"/>
      <c r="O86" s="22"/>
      <c r="P86" s="11" t="str">
        <f t="shared" si="37"/>
        <v/>
      </c>
      <c r="Q86" s="26"/>
      <c r="R86" s="22"/>
      <c r="S86" s="29" t="str">
        <f t="shared" si="38"/>
        <v/>
      </c>
      <c r="T86" s="12" t="str">
        <f t="shared" si="39"/>
        <v/>
      </c>
      <c r="U86" s="12" t="str">
        <f t="shared" si="40"/>
        <v/>
      </c>
      <c r="V86" s="12" t="str">
        <f>IF(AND($B86="",$C86=""),"",HLOOKUP(VLOOKUP($B$1,'Cidade-ER'!$A:$B,2,0),$AP$6:$BB86,ROW()-5,0))</f>
        <v/>
      </c>
      <c r="W86" s="12" t="str">
        <f t="shared" si="41"/>
        <v/>
      </c>
      <c r="X86" s="12" t="str">
        <f t="shared" si="42"/>
        <v/>
      </c>
      <c r="Y86" s="14" t="str">
        <f t="shared" si="43"/>
        <v/>
      </c>
      <c r="Z86" s="12" t="str">
        <f t="shared" si="44"/>
        <v/>
      </c>
      <c r="AA86" s="12" t="str">
        <f>IF(AND($B86="",$C86=""),"",(Sarjeta!$C$17^(5/3))*(Sarjeta!$C$16^(-2/3))*(ABS($K86)^0.5)/Sarjeta!$C$14*1000*2)</f>
        <v/>
      </c>
      <c r="AB86" s="12" t="str">
        <f>IF(AND($B86="",$C86=""),"",(Sarjeta!$C$17/Sarjeta!$C$16)^(2/3)*(ABS($K86)^0.5)/Sarjeta!$C$14)</f>
        <v/>
      </c>
      <c r="AC86" s="36" t="str">
        <f>IF(AND($B86="",$C86=""),"",IF(Z86&lt;AA86,0,MAX(ROUND(Z86/AA86,0)*2,ROUNDUP(ROUND(Z86/Sarjeta!$C$19,0)/2,0)*2)))</f>
        <v/>
      </c>
      <c r="AD86" s="26"/>
      <c r="AE86" s="27"/>
      <c r="AF86" s="32" t="str">
        <f>IF(OR($AE86="",AND($B86="",$C86="")),"",IF(ISERROR(VLOOKUP(AL86,Coeficientes!$A:$C,3,1)),0.05,VLOOKUP(AL86,Coeficientes!$A:$C,3,1)))</f>
        <v/>
      </c>
      <c r="AG86" s="12" t="str">
        <f t="shared" si="32"/>
        <v/>
      </c>
      <c r="AH86" s="30"/>
      <c r="AI86" s="31"/>
      <c r="AJ86" s="48" t="str">
        <f t="shared" si="45"/>
        <v/>
      </c>
      <c r="AK86" s="48" t="str">
        <f t="shared" si="46"/>
        <v/>
      </c>
      <c r="AL86" s="48" t="str">
        <f t="shared" si="47"/>
        <v/>
      </c>
      <c r="AM86" s="48" t="str">
        <f>IF(AND($B86="",$C86=""),"",VLOOKUP($AF86,Coeficientes!$C:$D,2,0))</f>
        <v/>
      </c>
      <c r="AN86" s="48" t="str">
        <f t="shared" si="48"/>
        <v/>
      </c>
      <c r="AO86" s="48" t="str">
        <f t="shared" si="49"/>
        <v/>
      </c>
      <c r="AP86" s="48" t="str">
        <f t="shared" si="50"/>
        <v/>
      </c>
      <c r="AQ86" s="48" t="str">
        <f t="shared" si="51"/>
        <v/>
      </c>
      <c r="AR86" s="48" t="str">
        <f t="shared" si="52"/>
        <v/>
      </c>
      <c r="AS86" s="48" t="str">
        <f t="shared" si="53"/>
        <v/>
      </c>
      <c r="AT86" s="48" t="str">
        <f t="shared" si="54"/>
        <v/>
      </c>
      <c r="AU86" s="48" t="str">
        <f t="shared" si="55"/>
        <v/>
      </c>
      <c r="AV86" s="48" t="str">
        <f t="shared" si="56"/>
        <v/>
      </c>
      <c r="AW86" s="48" t="str">
        <f t="shared" si="57"/>
        <v/>
      </c>
      <c r="AX86" s="48" t="str">
        <f t="shared" si="58"/>
        <v/>
      </c>
      <c r="AY86" s="48" t="str">
        <f t="shared" si="59"/>
        <v/>
      </c>
      <c r="AZ86" s="48" t="str">
        <f t="shared" si="60"/>
        <v/>
      </c>
      <c r="BA86" s="48" t="str">
        <f t="shared" si="61"/>
        <v/>
      </c>
      <c r="BB86" s="48" t="str">
        <f t="shared" si="62"/>
        <v/>
      </c>
    </row>
    <row r="87" spans="1:54" x14ac:dyDescent="0.2">
      <c r="A87" s="30"/>
      <c r="B87" s="23"/>
      <c r="C87" s="23"/>
      <c r="D87" s="24"/>
      <c r="E87" s="24"/>
      <c r="F87" s="24"/>
      <c r="G87" s="24"/>
      <c r="H87" s="10" t="str">
        <f t="shared" si="33"/>
        <v/>
      </c>
      <c r="I87" s="10" t="str">
        <f t="shared" si="34"/>
        <v/>
      </c>
      <c r="J87" s="24"/>
      <c r="K87" s="13" t="str">
        <f t="shared" si="35"/>
        <v/>
      </c>
      <c r="L87" s="13" t="str">
        <f t="shared" si="36"/>
        <v/>
      </c>
      <c r="M87" s="25"/>
      <c r="N87" s="25"/>
      <c r="O87" s="22"/>
      <c r="P87" s="11" t="str">
        <f t="shared" si="37"/>
        <v/>
      </c>
      <c r="Q87" s="26"/>
      <c r="R87" s="22"/>
      <c r="S87" s="29" t="str">
        <f t="shared" si="38"/>
        <v/>
      </c>
      <c r="T87" s="12" t="str">
        <f t="shared" si="39"/>
        <v/>
      </c>
      <c r="U87" s="12" t="str">
        <f t="shared" si="40"/>
        <v/>
      </c>
      <c r="V87" s="12" t="str">
        <f>IF(AND($B87="",$C87=""),"",HLOOKUP(VLOOKUP($B$1,'Cidade-ER'!$A:$B,2,0),$AP$6:$BB87,ROW()-5,0))</f>
        <v/>
      </c>
      <c r="W87" s="12" t="str">
        <f t="shared" si="41"/>
        <v/>
      </c>
      <c r="X87" s="12" t="str">
        <f t="shared" si="42"/>
        <v/>
      </c>
      <c r="Y87" s="14" t="str">
        <f t="shared" si="43"/>
        <v/>
      </c>
      <c r="Z87" s="12" t="str">
        <f t="shared" si="44"/>
        <v/>
      </c>
      <c r="AA87" s="12" t="str">
        <f>IF(AND($B87="",$C87=""),"",(Sarjeta!$C$17^(5/3))*(Sarjeta!$C$16^(-2/3))*(ABS($K87)^0.5)/Sarjeta!$C$14*1000*2)</f>
        <v/>
      </c>
      <c r="AB87" s="12" t="str">
        <f>IF(AND($B87="",$C87=""),"",(Sarjeta!$C$17/Sarjeta!$C$16)^(2/3)*(ABS($K87)^0.5)/Sarjeta!$C$14)</f>
        <v/>
      </c>
      <c r="AC87" s="36" t="str">
        <f>IF(AND($B87="",$C87=""),"",IF(Z87&lt;AA87,0,MAX(ROUND(Z87/AA87,0)*2,ROUNDUP(ROUND(Z87/Sarjeta!$C$19,0)/2,0)*2)))</f>
        <v/>
      </c>
      <c r="AD87" s="26"/>
      <c r="AE87" s="27"/>
      <c r="AF87" s="32" t="str">
        <f>IF(OR($AE87="",AND($B87="",$C87="")),"",IF(ISERROR(VLOOKUP(AL87,Coeficientes!$A:$C,3,1)),0.05,VLOOKUP(AL87,Coeficientes!$A:$C,3,1)))</f>
        <v/>
      </c>
      <c r="AG87" s="12" t="str">
        <f t="shared" si="32"/>
        <v/>
      </c>
      <c r="AH87" s="30"/>
      <c r="AI87" s="31"/>
      <c r="AJ87" s="48" t="str">
        <f t="shared" si="45"/>
        <v/>
      </c>
      <c r="AK87" s="48" t="str">
        <f t="shared" si="46"/>
        <v/>
      </c>
      <c r="AL87" s="48" t="str">
        <f t="shared" si="47"/>
        <v/>
      </c>
      <c r="AM87" s="48" t="str">
        <f>IF(AND($B87="",$C87=""),"",VLOOKUP($AF87,Coeficientes!$C:$D,2,0))</f>
        <v/>
      </c>
      <c r="AN87" s="48" t="str">
        <f t="shared" si="48"/>
        <v/>
      </c>
      <c r="AO87" s="48" t="str">
        <f t="shared" si="49"/>
        <v/>
      </c>
      <c r="AP87" s="48" t="str">
        <f t="shared" si="50"/>
        <v/>
      </c>
      <c r="AQ87" s="48" t="str">
        <f t="shared" si="51"/>
        <v/>
      </c>
      <c r="AR87" s="48" t="str">
        <f t="shared" si="52"/>
        <v/>
      </c>
      <c r="AS87" s="48" t="str">
        <f t="shared" si="53"/>
        <v/>
      </c>
      <c r="AT87" s="48" t="str">
        <f t="shared" si="54"/>
        <v/>
      </c>
      <c r="AU87" s="48" t="str">
        <f t="shared" si="55"/>
        <v/>
      </c>
      <c r="AV87" s="48" t="str">
        <f t="shared" si="56"/>
        <v/>
      </c>
      <c r="AW87" s="48" t="str">
        <f t="shared" si="57"/>
        <v/>
      </c>
      <c r="AX87" s="48" t="str">
        <f t="shared" si="58"/>
        <v/>
      </c>
      <c r="AY87" s="48" t="str">
        <f t="shared" si="59"/>
        <v/>
      </c>
      <c r="AZ87" s="48" t="str">
        <f t="shared" si="60"/>
        <v/>
      </c>
      <c r="BA87" s="48" t="str">
        <f t="shared" si="61"/>
        <v/>
      </c>
      <c r="BB87" s="48" t="str">
        <f t="shared" si="62"/>
        <v/>
      </c>
    </row>
    <row r="88" spans="1:54" x14ac:dyDescent="0.2">
      <c r="A88" s="30"/>
      <c r="B88" s="23"/>
      <c r="C88" s="23"/>
      <c r="D88" s="24"/>
      <c r="E88" s="24"/>
      <c r="F88" s="24"/>
      <c r="G88" s="24"/>
      <c r="H88" s="10" t="str">
        <f t="shared" si="33"/>
        <v/>
      </c>
      <c r="I88" s="10" t="str">
        <f t="shared" si="34"/>
        <v/>
      </c>
      <c r="J88" s="24"/>
      <c r="K88" s="13" t="str">
        <f t="shared" si="35"/>
        <v/>
      </c>
      <c r="L88" s="13" t="str">
        <f t="shared" si="36"/>
        <v/>
      </c>
      <c r="M88" s="25"/>
      <c r="N88" s="25"/>
      <c r="O88" s="22"/>
      <c r="P88" s="11" t="str">
        <f t="shared" si="37"/>
        <v/>
      </c>
      <c r="Q88" s="26"/>
      <c r="R88" s="22"/>
      <c r="S88" s="29" t="str">
        <f t="shared" si="38"/>
        <v/>
      </c>
      <c r="T88" s="12" t="str">
        <f t="shared" si="39"/>
        <v/>
      </c>
      <c r="U88" s="12" t="str">
        <f t="shared" si="40"/>
        <v/>
      </c>
      <c r="V88" s="12" t="str">
        <f>IF(AND($B88="",$C88=""),"",HLOOKUP(VLOOKUP($B$1,'Cidade-ER'!$A:$B,2,0),$AP$6:$BB88,ROW()-5,0))</f>
        <v/>
      </c>
      <c r="W88" s="12" t="str">
        <f t="shared" si="41"/>
        <v/>
      </c>
      <c r="X88" s="12" t="str">
        <f t="shared" si="42"/>
        <v/>
      </c>
      <c r="Y88" s="14" t="str">
        <f t="shared" si="43"/>
        <v/>
      </c>
      <c r="Z88" s="12" t="str">
        <f t="shared" si="44"/>
        <v/>
      </c>
      <c r="AA88" s="12" t="str">
        <f>IF(AND($B88="",$C88=""),"",(Sarjeta!$C$17^(5/3))*(Sarjeta!$C$16^(-2/3))*(ABS($K88)^0.5)/Sarjeta!$C$14*1000*2)</f>
        <v/>
      </c>
      <c r="AB88" s="12" t="str">
        <f>IF(AND($B88="",$C88=""),"",(Sarjeta!$C$17/Sarjeta!$C$16)^(2/3)*(ABS($K88)^0.5)/Sarjeta!$C$14)</f>
        <v/>
      </c>
      <c r="AC88" s="36" t="str">
        <f>IF(AND($B88="",$C88=""),"",IF(Z88&lt;AA88,0,MAX(ROUND(Z88/AA88,0)*2,ROUNDUP(ROUND(Z88/Sarjeta!$C$19,0)/2,0)*2)))</f>
        <v/>
      </c>
      <c r="AD88" s="26"/>
      <c r="AE88" s="27"/>
      <c r="AF88" s="32" t="str">
        <f>IF(OR($AE88="",AND($B88="",$C88="")),"",IF(ISERROR(VLOOKUP(AL88,Coeficientes!$A:$C,3,1)),0.05,VLOOKUP(AL88,Coeficientes!$A:$C,3,1)))</f>
        <v/>
      </c>
      <c r="AG88" s="12" t="str">
        <f t="shared" si="32"/>
        <v/>
      </c>
      <c r="AH88" s="30"/>
      <c r="AI88" s="31"/>
      <c r="AJ88" s="48" t="str">
        <f t="shared" si="45"/>
        <v/>
      </c>
      <c r="AK88" s="48" t="str">
        <f t="shared" si="46"/>
        <v/>
      </c>
      <c r="AL88" s="48" t="str">
        <f t="shared" si="47"/>
        <v/>
      </c>
      <c r="AM88" s="48" t="str">
        <f>IF(AND($B88="",$C88=""),"",VLOOKUP($AF88,Coeficientes!$C:$D,2,0))</f>
        <v/>
      </c>
      <c r="AN88" s="48" t="str">
        <f t="shared" si="48"/>
        <v/>
      </c>
      <c r="AO88" s="48" t="str">
        <f t="shared" si="49"/>
        <v/>
      </c>
      <c r="AP88" s="48" t="str">
        <f t="shared" si="50"/>
        <v/>
      </c>
      <c r="AQ88" s="48" t="str">
        <f t="shared" si="51"/>
        <v/>
      </c>
      <c r="AR88" s="48" t="str">
        <f t="shared" si="52"/>
        <v/>
      </c>
      <c r="AS88" s="48" t="str">
        <f t="shared" si="53"/>
        <v/>
      </c>
      <c r="AT88" s="48" t="str">
        <f t="shared" si="54"/>
        <v/>
      </c>
      <c r="AU88" s="48" t="str">
        <f t="shared" si="55"/>
        <v/>
      </c>
      <c r="AV88" s="48" t="str">
        <f t="shared" si="56"/>
        <v/>
      </c>
      <c r="AW88" s="48" t="str">
        <f t="shared" si="57"/>
        <v/>
      </c>
      <c r="AX88" s="48" t="str">
        <f t="shared" si="58"/>
        <v/>
      </c>
      <c r="AY88" s="48" t="str">
        <f t="shared" si="59"/>
        <v/>
      </c>
      <c r="AZ88" s="48" t="str">
        <f t="shared" si="60"/>
        <v/>
      </c>
      <c r="BA88" s="48" t="str">
        <f t="shared" si="61"/>
        <v/>
      </c>
      <c r="BB88" s="48" t="str">
        <f t="shared" si="62"/>
        <v/>
      </c>
    </row>
    <row r="89" spans="1:54" x14ac:dyDescent="0.2">
      <c r="A89" s="30"/>
      <c r="B89" s="23"/>
      <c r="C89" s="23"/>
      <c r="D89" s="24"/>
      <c r="E89" s="24"/>
      <c r="F89" s="24"/>
      <c r="G89" s="24"/>
      <c r="H89" s="10" t="str">
        <f t="shared" si="33"/>
        <v/>
      </c>
      <c r="I89" s="10" t="str">
        <f t="shared" si="34"/>
        <v/>
      </c>
      <c r="J89" s="24"/>
      <c r="K89" s="13" t="str">
        <f t="shared" si="35"/>
        <v/>
      </c>
      <c r="L89" s="13" t="str">
        <f t="shared" si="36"/>
        <v/>
      </c>
      <c r="M89" s="25"/>
      <c r="N89" s="25"/>
      <c r="O89" s="22"/>
      <c r="P89" s="11" t="str">
        <f t="shared" si="37"/>
        <v/>
      </c>
      <c r="Q89" s="26"/>
      <c r="R89" s="22"/>
      <c r="S89" s="29" t="str">
        <f t="shared" si="38"/>
        <v/>
      </c>
      <c r="T89" s="12" t="str">
        <f t="shared" si="39"/>
        <v/>
      </c>
      <c r="U89" s="12" t="str">
        <f t="shared" si="40"/>
        <v/>
      </c>
      <c r="V89" s="12" t="str">
        <f>IF(AND($B89="",$C89=""),"",HLOOKUP(VLOOKUP($B$1,'Cidade-ER'!$A:$B,2,0),$AP$6:$BB89,ROW()-5,0))</f>
        <v/>
      </c>
      <c r="W89" s="12" t="str">
        <f t="shared" si="41"/>
        <v/>
      </c>
      <c r="X89" s="12" t="str">
        <f t="shared" si="42"/>
        <v/>
      </c>
      <c r="Y89" s="14" t="str">
        <f t="shared" si="43"/>
        <v/>
      </c>
      <c r="Z89" s="12" t="str">
        <f t="shared" si="44"/>
        <v/>
      </c>
      <c r="AA89" s="12" t="str">
        <f>IF(AND($B89="",$C89=""),"",(Sarjeta!$C$17^(5/3))*(Sarjeta!$C$16^(-2/3))*(ABS($K89)^0.5)/Sarjeta!$C$14*1000*2)</f>
        <v/>
      </c>
      <c r="AB89" s="12" t="str">
        <f>IF(AND($B89="",$C89=""),"",(Sarjeta!$C$17/Sarjeta!$C$16)^(2/3)*(ABS($K89)^0.5)/Sarjeta!$C$14)</f>
        <v/>
      </c>
      <c r="AC89" s="36" t="str">
        <f>IF(AND($B89="",$C89=""),"",IF(Z89&lt;AA89,0,MAX(ROUND(Z89/AA89,0)*2,ROUNDUP(ROUND(Z89/Sarjeta!$C$19,0)/2,0)*2)))</f>
        <v/>
      </c>
      <c r="AD89" s="26"/>
      <c r="AE89" s="27"/>
      <c r="AF89" s="32" t="str">
        <f>IF(OR($AE89="",AND($B89="",$C89="")),"",IF(ISERROR(VLOOKUP(AL89,Coeficientes!$A:$C,3,1)),0.05,VLOOKUP(AL89,Coeficientes!$A:$C,3,1)))</f>
        <v/>
      </c>
      <c r="AG89" s="12" t="str">
        <f t="shared" si="32"/>
        <v/>
      </c>
      <c r="AH89" s="30"/>
      <c r="AI89" s="31"/>
      <c r="AJ89" s="48" t="str">
        <f t="shared" si="45"/>
        <v/>
      </c>
      <c r="AK89" s="48" t="str">
        <f t="shared" si="46"/>
        <v/>
      </c>
      <c r="AL89" s="48" t="str">
        <f t="shared" si="47"/>
        <v/>
      </c>
      <c r="AM89" s="48" t="str">
        <f>IF(AND($B89="",$C89=""),"",VLOOKUP($AF89,Coeficientes!$C:$D,2,0))</f>
        <v/>
      </c>
      <c r="AN89" s="48" t="str">
        <f t="shared" si="48"/>
        <v/>
      </c>
      <c r="AO89" s="48" t="str">
        <f t="shared" si="49"/>
        <v/>
      </c>
      <c r="AP89" s="48" t="str">
        <f t="shared" si="50"/>
        <v/>
      </c>
      <c r="AQ89" s="48" t="str">
        <f t="shared" si="51"/>
        <v/>
      </c>
      <c r="AR89" s="48" t="str">
        <f t="shared" si="52"/>
        <v/>
      </c>
      <c r="AS89" s="48" t="str">
        <f t="shared" si="53"/>
        <v/>
      </c>
      <c r="AT89" s="48" t="str">
        <f t="shared" si="54"/>
        <v/>
      </c>
      <c r="AU89" s="48" t="str">
        <f t="shared" si="55"/>
        <v/>
      </c>
      <c r="AV89" s="48" t="str">
        <f t="shared" si="56"/>
        <v/>
      </c>
      <c r="AW89" s="48" t="str">
        <f t="shared" si="57"/>
        <v/>
      </c>
      <c r="AX89" s="48" t="str">
        <f t="shared" si="58"/>
        <v/>
      </c>
      <c r="AY89" s="48" t="str">
        <f t="shared" si="59"/>
        <v/>
      </c>
      <c r="AZ89" s="48" t="str">
        <f t="shared" si="60"/>
        <v/>
      </c>
      <c r="BA89" s="48" t="str">
        <f t="shared" si="61"/>
        <v/>
      </c>
      <c r="BB89" s="48" t="str">
        <f t="shared" si="62"/>
        <v/>
      </c>
    </row>
    <row r="90" spans="1:54" x14ac:dyDescent="0.2">
      <c r="A90" s="30"/>
      <c r="B90" s="23"/>
      <c r="C90" s="23"/>
      <c r="D90" s="24"/>
      <c r="E90" s="24"/>
      <c r="F90" s="24"/>
      <c r="G90" s="24"/>
      <c r="H90" s="10" t="str">
        <f t="shared" si="33"/>
        <v/>
      </c>
      <c r="I90" s="10" t="str">
        <f t="shared" si="34"/>
        <v/>
      </c>
      <c r="J90" s="24"/>
      <c r="K90" s="13" t="str">
        <f t="shared" si="35"/>
        <v/>
      </c>
      <c r="L90" s="13" t="str">
        <f t="shared" si="36"/>
        <v/>
      </c>
      <c r="M90" s="25"/>
      <c r="N90" s="25"/>
      <c r="O90" s="22"/>
      <c r="P90" s="11" t="str">
        <f t="shared" si="37"/>
        <v/>
      </c>
      <c r="Q90" s="26"/>
      <c r="R90" s="22"/>
      <c r="S90" s="29" t="str">
        <f t="shared" si="38"/>
        <v/>
      </c>
      <c r="T90" s="12" t="str">
        <f t="shared" si="39"/>
        <v/>
      </c>
      <c r="U90" s="12" t="str">
        <f t="shared" si="40"/>
        <v/>
      </c>
      <c r="V90" s="12" t="str">
        <f>IF(AND($B90="",$C90=""),"",HLOOKUP(VLOOKUP($B$1,'Cidade-ER'!$A:$B,2,0),$AP$6:$BB90,ROW()-5,0))</f>
        <v/>
      </c>
      <c r="W90" s="12" t="str">
        <f t="shared" si="41"/>
        <v/>
      </c>
      <c r="X90" s="12" t="str">
        <f t="shared" si="42"/>
        <v/>
      </c>
      <c r="Y90" s="14" t="str">
        <f t="shared" si="43"/>
        <v/>
      </c>
      <c r="Z90" s="12" t="str">
        <f t="shared" si="44"/>
        <v/>
      </c>
      <c r="AA90" s="12" t="str">
        <f>IF(AND($B90="",$C90=""),"",(Sarjeta!$C$17^(5/3))*(Sarjeta!$C$16^(-2/3))*(ABS($K90)^0.5)/Sarjeta!$C$14*1000*2)</f>
        <v/>
      </c>
      <c r="AB90" s="12" t="str">
        <f>IF(AND($B90="",$C90=""),"",(Sarjeta!$C$17/Sarjeta!$C$16)^(2/3)*(ABS($K90)^0.5)/Sarjeta!$C$14)</f>
        <v/>
      </c>
      <c r="AC90" s="36" t="str">
        <f>IF(AND($B90="",$C90=""),"",IF(Z90&lt;AA90,0,MAX(ROUND(Z90/AA90,0)*2,ROUNDUP(ROUND(Z90/Sarjeta!$C$19,0)/2,0)*2)))</f>
        <v/>
      </c>
      <c r="AD90" s="26"/>
      <c r="AE90" s="27"/>
      <c r="AF90" s="32" t="str">
        <f>IF(OR($AE90="",AND($B90="",$C90="")),"",IF(ISERROR(VLOOKUP(AL90,Coeficientes!$A:$C,3,1)),0.05,VLOOKUP(AL90,Coeficientes!$A:$C,3,1)))</f>
        <v/>
      </c>
      <c r="AG90" s="12" t="str">
        <f t="shared" si="32"/>
        <v/>
      </c>
      <c r="AH90" s="30"/>
      <c r="AI90" s="31"/>
      <c r="AJ90" s="48" t="str">
        <f t="shared" si="45"/>
        <v/>
      </c>
      <c r="AK90" s="48" t="str">
        <f t="shared" si="46"/>
        <v/>
      </c>
      <c r="AL90" s="48" t="str">
        <f t="shared" si="47"/>
        <v/>
      </c>
      <c r="AM90" s="48" t="str">
        <f>IF(AND($B90="",$C90=""),"",VLOOKUP($AF90,Coeficientes!$C:$D,2,0))</f>
        <v/>
      </c>
      <c r="AN90" s="48" t="str">
        <f t="shared" si="48"/>
        <v/>
      </c>
      <c r="AO90" s="48" t="str">
        <f t="shared" si="49"/>
        <v/>
      </c>
      <c r="AP90" s="48" t="str">
        <f t="shared" si="50"/>
        <v/>
      </c>
      <c r="AQ90" s="48" t="str">
        <f t="shared" si="51"/>
        <v/>
      </c>
      <c r="AR90" s="48" t="str">
        <f t="shared" si="52"/>
        <v/>
      </c>
      <c r="AS90" s="48" t="str">
        <f t="shared" si="53"/>
        <v/>
      </c>
      <c r="AT90" s="48" t="str">
        <f t="shared" si="54"/>
        <v/>
      </c>
      <c r="AU90" s="48" t="str">
        <f t="shared" si="55"/>
        <v/>
      </c>
      <c r="AV90" s="48" t="str">
        <f t="shared" si="56"/>
        <v/>
      </c>
      <c r="AW90" s="48" t="str">
        <f t="shared" si="57"/>
        <v/>
      </c>
      <c r="AX90" s="48" t="str">
        <f t="shared" si="58"/>
        <v/>
      </c>
      <c r="AY90" s="48" t="str">
        <f t="shared" si="59"/>
        <v/>
      </c>
      <c r="AZ90" s="48" t="str">
        <f t="shared" si="60"/>
        <v/>
      </c>
      <c r="BA90" s="48" t="str">
        <f t="shared" si="61"/>
        <v/>
      </c>
      <c r="BB90" s="48" t="str">
        <f t="shared" si="62"/>
        <v/>
      </c>
    </row>
    <row r="91" spans="1:54" x14ac:dyDescent="0.2">
      <c r="A91" s="30"/>
      <c r="B91" s="23"/>
      <c r="C91" s="23"/>
      <c r="D91" s="24"/>
      <c r="E91" s="24"/>
      <c r="F91" s="24"/>
      <c r="G91" s="24"/>
      <c r="H91" s="10" t="str">
        <f t="shared" si="33"/>
        <v/>
      </c>
      <c r="I91" s="10" t="str">
        <f t="shared" si="34"/>
        <v/>
      </c>
      <c r="J91" s="24"/>
      <c r="K91" s="13" t="str">
        <f t="shared" si="35"/>
        <v/>
      </c>
      <c r="L91" s="13" t="str">
        <f t="shared" si="36"/>
        <v/>
      </c>
      <c r="M91" s="25"/>
      <c r="N91" s="25"/>
      <c r="O91" s="22"/>
      <c r="P91" s="11" t="str">
        <f t="shared" si="37"/>
        <v/>
      </c>
      <c r="Q91" s="26"/>
      <c r="R91" s="22"/>
      <c r="S91" s="29" t="str">
        <f t="shared" si="38"/>
        <v/>
      </c>
      <c r="T91" s="12" t="str">
        <f t="shared" si="39"/>
        <v/>
      </c>
      <c r="U91" s="12" t="str">
        <f t="shared" si="40"/>
        <v/>
      </c>
      <c r="V91" s="12" t="str">
        <f>IF(AND($B91="",$C91=""),"",HLOOKUP(VLOOKUP($B$1,'Cidade-ER'!$A:$B,2,0),$AP$6:$BB91,ROW()-5,0))</f>
        <v/>
      </c>
      <c r="W91" s="12" t="str">
        <f t="shared" si="41"/>
        <v/>
      </c>
      <c r="X91" s="12" t="str">
        <f t="shared" si="42"/>
        <v/>
      </c>
      <c r="Y91" s="14" t="str">
        <f t="shared" si="43"/>
        <v/>
      </c>
      <c r="Z91" s="12" t="str">
        <f t="shared" si="44"/>
        <v/>
      </c>
      <c r="AA91" s="12" t="str">
        <f>IF(AND($B91="",$C91=""),"",(Sarjeta!$C$17^(5/3))*(Sarjeta!$C$16^(-2/3))*(ABS($K91)^0.5)/Sarjeta!$C$14*1000*2)</f>
        <v/>
      </c>
      <c r="AB91" s="12" t="str">
        <f>IF(AND($B91="",$C91=""),"",(Sarjeta!$C$17/Sarjeta!$C$16)^(2/3)*(ABS($K91)^0.5)/Sarjeta!$C$14)</f>
        <v/>
      </c>
      <c r="AC91" s="36" t="str">
        <f>IF(AND($B91="",$C91=""),"",IF(Z91&lt;AA91,0,MAX(ROUND(Z91/AA91,0)*2,ROUNDUP(ROUND(Z91/Sarjeta!$C$19,0)/2,0)*2)))</f>
        <v/>
      </c>
      <c r="AD91" s="26"/>
      <c r="AE91" s="27"/>
      <c r="AF91" s="32" t="str">
        <f>IF(OR($AE91="",AND($B91="",$C91="")),"",IF(ISERROR(VLOOKUP(AL91,Coeficientes!$A:$C,3,1)),0.05,VLOOKUP(AL91,Coeficientes!$A:$C,3,1)))</f>
        <v/>
      </c>
      <c r="AG91" s="12" t="str">
        <f t="shared" si="32"/>
        <v/>
      </c>
      <c r="AH91" s="30"/>
      <c r="AI91" s="31"/>
      <c r="AJ91" s="48" t="str">
        <f t="shared" si="45"/>
        <v/>
      </c>
      <c r="AK91" s="48" t="str">
        <f t="shared" si="46"/>
        <v/>
      </c>
      <c r="AL91" s="48" t="str">
        <f t="shared" si="47"/>
        <v/>
      </c>
      <c r="AM91" s="48" t="str">
        <f>IF(AND($B91="",$C91=""),"",VLOOKUP($AF91,Coeficientes!$C:$D,2,0))</f>
        <v/>
      </c>
      <c r="AN91" s="48" t="str">
        <f t="shared" si="48"/>
        <v/>
      </c>
      <c r="AO91" s="48" t="str">
        <f t="shared" si="49"/>
        <v/>
      </c>
      <c r="AP91" s="48" t="str">
        <f t="shared" si="50"/>
        <v/>
      </c>
      <c r="AQ91" s="48" t="str">
        <f t="shared" si="51"/>
        <v/>
      </c>
      <c r="AR91" s="48" t="str">
        <f t="shared" si="52"/>
        <v/>
      </c>
      <c r="AS91" s="48" t="str">
        <f t="shared" si="53"/>
        <v/>
      </c>
      <c r="AT91" s="48" t="str">
        <f t="shared" si="54"/>
        <v/>
      </c>
      <c r="AU91" s="48" t="str">
        <f t="shared" si="55"/>
        <v/>
      </c>
      <c r="AV91" s="48" t="str">
        <f t="shared" si="56"/>
        <v/>
      </c>
      <c r="AW91" s="48" t="str">
        <f t="shared" si="57"/>
        <v/>
      </c>
      <c r="AX91" s="48" t="str">
        <f t="shared" si="58"/>
        <v/>
      </c>
      <c r="AY91" s="48" t="str">
        <f t="shared" si="59"/>
        <v/>
      </c>
      <c r="AZ91" s="48" t="str">
        <f t="shared" si="60"/>
        <v/>
      </c>
      <c r="BA91" s="48" t="str">
        <f t="shared" si="61"/>
        <v/>
      </c>
      <c r="BB91" s="48" t="str">
        <f t="shared" si="62"/>
        <v/>
      </c>
    </row>
    <row r="92" spans="1:54" x14ac:dyDescent="0.2">
      <c r="A92" s="30"/>
      <c r="B92" s="23"/>
      <c r="C92" s="23"/>
      <c r="D92" s="24"/>
      <c r="E92" s="24"/>
      <c r="F92" s="24"/>
      <c r="G92" s="24"/>
      <c r="H92" s="10" t="str">
        <f t="shared" si="33"/>
        <v/>
      </c>
      <c r="I92" s="10" t="str">
        <f t="shared" si="34"/>
        <v/>
      </c>
      <c r="J92" s="24"/>
      <c r="K92" s="13" t="str">
        <f t="shared" si="35"/>
        <v/>
      </c>
      <c r="L92" s="13" t="str">
        <f t="shared" si="36"/>
        <v/>
      </c>
      <c r="M92" s="25"/>
      <c r="N92" s="25"/>
      <c r="O92" s="22"/>
      <c r="P92" s="11" t="str">
        <f t="shared" si="37"/>
        <v/>
      </c>
      <c r="Q92" s="26"/>
      <c r="R92" s="22"/>
      <c r="S92" s="29" t="str">
        <f t="shared" si="38"/>
        <v/>
      </c>
      <c r="T92" s="12" t="str">
        <f t="shared" si="39"/>
        <v/>
      </c>
      <c r="U92" s="12" t="str">
        <f t="shared" si="40"/>
        <v/>
      </c>
      <c r="V92" s="12" t="str">
        <f>IF(AND($B92="",$C92=""),"",HLOOKUP(VLOOKUP($B$1,'Cidade-ER'!$A:$B,2,0),$AP$6:$BB92,ROW()-5,0))</f>
        <v/>
      </c>
      <c r="W92" s="12" t="str">
        <f t="shared" si="41"/>
        <v/>
      </c>
      <c r="X92" s="12" t="str">
        <f t="shared" si="42"/>
        <v/>
      </c>
      <c r="Y92" s="14" t="str">
        <f t="shared" si="43"/>
        <v/>
      </c>
      <c r="Z92" s="12" t="str">
        <f t="shared" si="44"/>
        <v/>
      </c>
      <c r="AA92" s="12" t="str">
        <f>IF(AND($B92="",$C92=""),"",(Sarjeta!$C$17^(5/3))*(Sarjeta!$C$16^(-2/3))*(ABS($K92)^0.5)/Sarjeta!$C$14*1000*2)</f>
        <v/>
      </c>
      <c r="AB92" s="12" t="str">
        <f>IF(AND($B92="",$C92=""),"",(Sarjeta!$C$17/Sarjeta!$C$16)^(2/3)*(ABS($K92)^0.5)/Sarjeta!$C$14)</f>
        <v/>
      </c>
      <c r="AC92" s="36" t="str">
        <f>IF(AND($B92="",$C92=""),"",IF(Z92&lt;AA92,0,MAX(ROUND(Z92/AA92,0)*2,ROUNDUP(ROUND(Z92/Sarjeta!$C$19,0)/2,0)*2)))</f>
        <v/>
      </c>
      <c r="AD92" s="26"/>
      <c r="AE92" s="27"/>
      <c r="AF92" s="32" t="str">
        <f>IF(OR($AE92="",AND($B92="",$C92="")),"",IF(ISERROR(VLOOKUP(AL92,Coeficientes!$A:$C,3,1)),0.05,VLOOKUP(AL92,Coeficientes!$A:$C,3,1)))</f>
        <v/>
      </c>
      <c r="AG92" s="12" t="str">
        <f t="shared" si="32"/>
        <v/>
      </c>
      <c r="AH92" s="30"/>
      <c r="AI92" s="31"/>
      <c r="AJ92" s="48" t="str">
        <f t="shared" si="45"/>
        <v/>
      </c>
      <c r="AK92" s="48" t="str">
        <f t="shared" si="46"/>
        <v/>
      </c>
      <c r="AL92" s="48" t="str">
        <f t="shared" si="47"/>
        <v/>
      </c>
      <c r="AM92" s="48" t="str">
        <f>IF(AND($B92="",$C92=""),"",VLOOKUP($AF92,Coeficientes!$C:$D,2,0))</f>
        <v/>
      </c>
      <c r="AN92" s="48" t="str">
        <f t="shared" si="48"/>
        <v/>
      </c>
      <c r="AO92" s="48" t="str">
        <f t="shared" si="49"/>
        <v/>
      </c>
      <c r="AP92" s="48" t="str">
        <f t="shared" si="50"/>
        <v/>
      </c>
      <c r="AQ92" s="48" t="str">
        <f t="shared" si="51"/>
        <v/>
      </c>
      <c r="AR92" s="48" t="str">
        <f t="shared" si="52"/>
        <v/>
      </c>
      <c r="AS92" s="48" t="str">
        <f t="shared" si="53"/>
        <v/>
      </c>
      <c r="AT92" s="48" t="str">
        <f t="shared" si="54"/>
        <v/>
      </c>
      <c r="AU92" s="48" t="str">
        <f t="shared" si="55"/>
        <v/>
      </c>
      <c r="AV92" s="48" t="str">
        <f t="shared" si="56"/>
        <v/>
      </c>
      <c r="AW92" s="48" t="str">
        <f t="shared" si="57"/>
        <v/>
      </c>
      <c r="AX92" s="48" t="str">
        <f t="shared" si="58"/>
        <v/>
      </c>
      <c r="AY92" s="48" t="str">
        <f t="shared" si="59"/>
        <v/>
      </c>
      <c r="AZ92" s="48" t="str">
        <f t="shared" si="60"/>
        <v/>
      </c>
      <c r="BA92" s="48" t="str">
        <f t="shared" si="61"/>
        <v/>
      </c>
      <c r="BB92" s="48" t="str">
        <f t="shared" si="62"/>
        <v/>
      </c>
    </row>
    <row r="93" spans="1:54" x14ac:dyDescent="0.2">
      <c r="A93" s="30"/>
      <c r="B93" s="23"/>
      <c r="C93" s="23"/>
      <c r="D93" s="24"/>
      <c r="E93" s="24"/>
      <c r="F93" s="24"/>
      <c r="G93" s="24"/>
      <c r="H93" s="10" t="str">
        <f t="shared" si="33"/>
        <v/>
      </c>
      <c r="I93" s="10" t="str">
        <f t="shared" si="34"/>
        <v/>
      </c>
      <c r="J93" s="24"/>
      <c r="K93" s="13" t="str">
        <f t="shared" si="35"/>
        <v/>
      </c>
      <c r="L93" s="13" t="str">
        <f t="shared" si="36"/>
        <v/>
      </c>
      <c r="M93" s="25"/>
      <c r="N93" s="25"/>
      <c r="O93" s="22"/>
      <c r="P93" s="11" t="str">
        <f t="shared" si="37"/>
        <v/>
      </c>
      <c r="Q93" s="26"/>
      <c r="R93" s="22"/>
      <c r="S93" s="29" t="str">
        <f t="shared" si="38"/>
        <v/>
      </c>
      <c r="T93" s="12" t="str">
        <f t="shared" si="39"/>
        <v/>
      </c>
      <c r="U93" s="12" t="str">
        <f t="shared" si="40"/>
        <v/>
      </c>
      <c r="V93" s="12" t="str">
        <f>IF(AND($B93="",$C93=""),"",HLOOKUP(VLOOKUP($B$1,'Cidade-ER'!$A:$B,2,0),$AP$6:$BB93,ROW()-5,0))</f>
        <v/>
      </c>
      <c r="W93" s="12" t="str">
        <f t="shared" si="41"/>
        <v/>
      </c>
      <c r="X93" s="12" t="str">
        <f t="shared" si="42"/>
        <v/>
      </c>
      <c r="Y93" s="14" t="str">
        <f t="shared" si="43"/>
        <v/>
      </c>
      <c r="Z93" s="12" t="str">
        <f t="shared" si="44"/>
        <v/>
      </c>
      <c r="AA93" s="12" t="str">
        <f>IF(AND($B93="",$C93=""),"",(Sarjeta!$C$17^(5/3))*(Sarjeta!$C$16^(-2/3))*(ABS($K93)^0.5)/Sarjeta!$C$14*1000*2)</f>
        <v/>
      </c>
      <c r="AB93" s="12" t="str">
        <f>IF(AND($B93="",$C93=""),"",(Sarjeta!$C$17/Sarjeta!$C$16)^(2/3)*(ABS($K93)^0.5)/Sarjeta!$C$14)</f>
        <v/>
      </c>
      <c r="AC93" s="36" t="str">
        <f>IF(AND($B93="",$C93=""),"",IF(Z93&lt;AA93,0,MAX(ROUND(Z93/AA93,0)*2,ROUNDUP(ROUND(Z93/Sarjeta!$C$19,0)/2,0)*2)))</f>
        <v/>
      </c>
      <c r="AD93" s="26"/>
      <c r="AE93" s="27"/>
      <c r="AF93" s="32" t="str">
        <f>IF(OR($AE93="",AND($B93="",$C93="")),"",IF(ISERROR(VLOOKUP(AL93,Coeficientes!$A:$C,3,1)),0.05,VLOOKUP(AL93,Coeficientes!$A:$C,3,1)))</f>
        <v/>
      </c>
      <c r="AG93" s="12" t="str">
        <f t="shared" si="32"/>
        <v/>
      </c>
      <c r="AH93" s="30"/>
      <c r="AI93" s="31"/>
      <c r="AJ93" s="48" t="str">
        <f t="shared" si="45"/>
        <v/>
      </c>
      <c r="AK93" s="48" t="str">
        <f t="shared" si="46"/>
        <v/>
      </c>
      <c r="AL93" s="48" t="str">
        <f t="shared" si="47"/>
        <v/>
      </c>
      <c r="AM93" s="48" t="str">
        <f>IF(AND($B93="",$C93=""),"",VLOOKUP($AF93,Coeficientes!$C:$D,2,0))</f>
        <v/>
      </c>
      <c r="AN93" s="48" t="str">
        <f t="shared" si="48"/>
        <v/>
      </c>
      <c r="AO93" s="48" t="str">
        <f t="shared" si="49"/>
        <v/>
      </c>
      <c r="AP93" s="48" t="str">
        <f t="shared" si="50"/>
        <v/>
      </c>
      <c r="AQ93" s="48" t="str">
        <f t="shared" si="51"/>
        <v/>
      </c>
      <c r="AR93" s="48" t="str">
        <f t="shared" si="52"/>
        <v/>
      </c>
      <c r="AS93" s="48" t="str">
        <f t="shared" si="53"/>
        <v/>
      </c>
      <c r="AT93" s="48" t="str">
        <f t="shared" si="54"/>
        <v/>
      </c>
      <c r="AU93" s="48" t="str">
        <f t="shared" si="55"/>
        <v/>
      </c>
      <c r="AV93" s="48" t="str">
        <f t="shared" si="56"/>
        <v/>
      </c>
      <c r="AW93" s="48" t="str">
        <f t="shared" si="57"/>
        <v/>
      </c>
      <c r="AX93" s="48" t="str">
        <f t="shared" si="58"/>
        <v/>
      </c>
      <c r="AY93" s="48" t="str">
        <f t="shared" si="59"/>
        <v/>
      </c>
      <c r="AZ93" s="48" t="str">
        <f t="shared" si="60"/>
        <v/>
      </c>
      <c r="BA93" s="48" t="str">
        <f t="shared" si="61"/>
        <v/>
      </c>
      <c r="BB93" s="48" t="str">
        <f t="shared" si="62"/>
        <v/>
      </c>
    </row>
    <row r="94" spans="1:54" x14ac:dyDescent="0.2">
      <c r="A94" s="30"/>
      <c r="B94" s="23"/>
      <c r="C94" s="23"/>
      <c r="D94" s="24"/>
      <c r="E94" s="24"/>
      <c r="F94" s="24"/>
      <c r="G94" s="24"/>
      <c r="H94" s="10" t="str">
        <f t="shared" si="33"/>
        <v/>
      </c>
      <c r="I94" s="10" t="str">
        <f t="shared" si="34"/>
        <v/>
      </c>
      <c r="J94" s="24"/>
      <c r="K94" s="13" t="str">
        <f t="shared" si="35"/>
        <v/>
      </c>
      <c r="L94" s="13" t="str">
        <f t="shared" si="36"/>
        <v/>
      </c>
      <c r="M94" s="25"/>
      <c r="N94" s="25"/>
      <c r="O94" s="22"/>
      <c r="P94" s="11" t="str">
        <f t="shared" si="37"/>
        <v/>
      </c>
      <c r="Q94" s="26"/>
      <c r="R94" s="22"/>
      <c r="S94" s="29" t="str">
        <f t="shared" si="38"/>
        <v/>
      </c>
      <c r="T94" s="12" t="str">
        <f t="shared" si="39"/>
        <v/>
      </c>
      <c r="U94" s="12" t="str">
        <f t="shared" si="40"/>
        <v/>
      </c>
      <c r="V94" s="12" t="str">
        <f>IF(AND($B94="",$C94=""),"",HLOOKUP(VLOOKUP($B$1,'Cidade-ER'!$A:$B,2,0),$AP$6:$BB94,ROW()-5,0))</f>
        <v/>
      </c>
      <c r="W94" s="12" t="str">
        <f t="shared" si="41"/>
        <v/>
      </c>
      <c r="X94" s="12" t="str">
        <f t="shared" si="42"/>
        <v/>
      </c>
      <c r="Y94" s="14" t="str">
        <f t="shared" si="43"/>
        <v/>
      </c>
      <c r="Z94" s="12" t="str">
        <f t="shared" si="44"/>
        <v/>
      </c>
      <c r="AA94" s="12" t="str">
        <f>IF(AND($B94="",$C94=""),"",(Sarjeta!$C$17^(5/3))*(Sarjeta!$C$16^(-2/3))*(ABS($K94)^0.5)/Sarjeta!$C$14*1000*2)</f>
        <v/>
      </c>
      <c r="AB94" s="12" t="str">
        <f>IF(AND($B94="",$C94=""),"",(Sarjeta!$C$17/Sarjeta!$C$16)^(2/3)*(ABS($K94)^0.5)/Sarjeta!$C$14)</f>
        <v/>
      </c>
      <c r="AC94" s="36" t="str">
        <f>IF(AND($B94="",$C94=""),"",IF(Z94&lt;AA94,0,MAX(ROUND(Z94/AA94,0)*2,ROUNDUP(ROUND(Z94/Sarjeta!$C$19,0)/2,0)*2)))</f>
        <v/>
      </c>
      <c r="AD94" s="26"/>
      <c r="AE94" s="27"/>
      <c r="AF94" s="32" t="str">
        <f>IF(OR($AE94="",AND($B94="",$C94="")),"",IF(ISERROR(VLOOKUP(AL94,Coeficientes!$A:$C,3,1)),0.05,VLOOKUP(AL94,Coeficientes!$A:$C,3,1)))</f>
        <v/>
      </c>
      <c r="AG94" s="12" t="str">
        <f t="shared" si="32"/>
        <v/>
      </c>
      <c r="AH94" s="30"/>
      <c r="AI94" s="31"/>
      <c r="AJ94" s="48" t="str">
        <f t="shared" si="45"/>
        <v/>
      </c>
      <c r="AK94" s="48" t="str">
        <f t="shared" si="46"/>
        <v/>
      </c>
      <c r="AL94" s="48" t="str">
        <f t="shared" si="47"/>
        <v/>
      </c>
      <c r="AM94" s="48" t="str">
        <f>IF(AND($B94="",$C94=""),"",VLOOKUP($AF94,Coeficientes!$C:$D,2,0))</f>
        <v/>
      </c>
      <c r="AN94" s="48" t="str">
        <f t="shared" si="48"/>
        <v/>
      </c>
      <c r="AO94" s="48" t="str">
        <f t="shared" si="49"/>
        <v/>
      </c>
      <c r="AP94" s="48" t="str">
        <f t="shared" si="50"/>
        <v/>
      </c>
      <c r="AQ94" s="48" t="str">
        <f t="shared" si="51"/>
        <v/>
      </c>
      <c r="AR94" s="48" t="str">
        <f t="shared" si="52"/>
        <v/>
      </c>
      <c r="AS94" s="48" t="str">
        <f t="shared" si="53"/>
        <v/>
      </c>
      <c r="AT94" s="48" t="str">
        <f t="shared" si="54"/>
        <v/>
      </c>
      <c r="AU94" s="48" t="str">
        <f t="shared" si="55"/>
        <v/>
      </c>
      <c r="AV94" s="48" t="str">
        <f t="shared" si="56"/>
        <v/>
      </c>
      <c r="AW94" s="48" t="str">
        <f t="shared" si="57"/>
        <v/>
      </c>
      <c r="AX94" s="48" t="str">
        <f t="shared" si="58"/>
        <v/>
      </c>
      <c r="AY94" s="48" t="str">
        <f t="shared" si="59"/>
        <v/>
      </c>
      <c r="AZ94" s="48" t="str">
        <f t="shared" si="60"/>
        <v/>
      </c>
      <c r="BA94" s="48" t="str">
        <f t="shared" si="61"/>
        <v/>
      </c>
      <c r="BB94" s="48" t="str">
        <f t="shared" si="62"/>
        <v/>
      </c>
    </row>
    <row r="95" spans="1:54" x14ac:dyDescent="0.2">
      <c r="A95" s="30"/>
      <c r="B95" s="23"/>
      <c r="C95" s="23"/>
      <c r="D95" s="24"/>
      <c r="E95" s="24"/>
      <c r="F95" s="24"/>
      <c r="G95" s="24"/>
      <c r="H95" s="10" t="str">
        <f t="shared" si="33"/>
        <v/>
      </c>
      <c r="I95" s="10" t="str">
        <f t="shared" si="34"/>
        <v/>
      </c>
      <c r="J95" s="24"/>
      <c r="K95" s="13" t="str">
        <f t="shared" si="35"/>
        <v/>
      </c>
      <c r="L95" s="13" t="str">
        <f t="shared" si="36"/>
        <v/>
      </c>
      <c r="M95" s="25"/>
      <c r="N95" s="25"/>
      <c r="O95" s="22"/>
      <c r="P95" s="11" t="str">
        <f t="shared" si="37"/>
        <v/>
      </c>
      <c r="Q95" s="26"/>
      <c r="R95" s="22"/>
      <c r="S95" s="29" t="str">
        <f t="shared" si="38"/>
        <v/>
      </c>
      <c r="T95" s="12" t="str">
        <f t="shared" si="39"/>
        <v/>
      </c>
      <c r="U95" s="12" t="str">
        <f t="shared" si="40"/>
        <v/>
      </c>
      <c r="V95" s="12" t="str">
        <f>IF(AND($B95="",$C95=""),"",HLOOKUP(VLOOKUP($B$1,'Cidade-ER'!$A:$B,2,0),$AP$6:$BB95,ROW()-5,0))</f>
        <v/>
      </c>
      <c r="W95" s="12" t="str">
        <f t="shared" si="41"/>
        <v/>
      </c>
      <c r="X95" s="12" t="str">
        <f t="shared" si="42"/>
        <v/>
      </c>
      <c r="Y95" s="14" t="str">
        <f t="shared" si="43"/>
        <v/>
      </c>
      <c r="Z95" s="12" t="str">
        <f t="shared" si="44"/>
        <v/>
      </c>
      <c r="AA95" s="12" t="str">
        <f>IF(AND($B95="",$C95=""),"",(Sarjeta!$C$17^(5/3))*(Sarjeta!$C$16^(-2/3))*(ABS($K95)^0.5)/Sarjeta!$C$14*1000*2)</f>
        <v/>
      </c>
      <c r="AB95" s="12" t="str">
        <f>IF(AND($B95="",$C95=""),"",(Sarjeta!$C$17/Sarjeta!$C$16)^(2/3)*(ABS($K95)^0.5)/Sarjeta!$C$14)</f>
        <v/>
      </c>
      <c r="AC95" s="36" t="str">
        <f>IF(AND($B95="",$C95=""),"",IF(Z95&lt;AA95,0,MAX(ROUND(Z95/AA95,0)*2,ROUNDUP(ROUND(Z95/Sarjeta!$C$19,0)/2,0)*2)))</f>
        <v/>
      </c>
      <c r="AD95" s="26"/>
      <c r="AE95" s="27"/>
      <c r="AF95" s="32" t="str">
        <f>IF(OR($AE95="",AND($B95="",$C95="")),"",IF(ISERROR(VLOOKUP(AL95,Coeficientes!$A:$C,3,1)),0.05,VLOOKUP(AL95,Coeficientes!$A:$C,3,1)))</f>
        <v/>
      </c>
      <c r="AG95" s="12" t="str">
        <f t="shared" si="32"/>
        <v/>
      </c>
      <c r="AH95" s="30"/>
      <c r="AI95" s="31"/>
      <c r="AJ95" s="48" t="str">
        <f t="shared" si="45"/>
        <v/>
      </c>
      <c r="AK95" s="48" t="str">
        <f t="shared" si="46"/>
        <v/>
      </c>
      <c r="AL95" s="48" t="str">
        <f t="shared" si="47"/>
        <v/>
      </c>
      <c r="AM95" s="48" t="str">
        <f>IF(AND($B95="",$C95=""),"",VLOOKUP($AF95,Coeficientes!$C:$D,2,0))</f>
        <v/>
      </c>
      <c r="AN95" s="48" t="str">
        <f t="shared" si="48"/>
        <v/>
      </c>
      <c r="AO95" s="48" t="str">
        <f t="shared" si="49"/>
        <v/>
      </c>
      <c r="AP95" s="48" t="str">
        <f t="shared" si="50"/>
        <v/>
      </c>
      <c r="AQ95" s="48" t="str">
        <f t="shared" si="51"/>
        <v/>
      </c>
      <c r="AR95" s="48" t="str">
        <f t="shared" si="52"/>
        <v/>
      </c>
      <c r="AS95" s="48" t="str">
        <f t="shared" si="53"/>
        <v/>
      </c>
      <c r="AT95" s="48" t="str">
        <f t="shared" si="54"/>
        <v/>
      </c>
      <c r="AU95" s="48" t="str">
        <f t="shared" si="55"/>
        <v/>
      </c>
      <c r="AV95" s="48" t="str">
        <f t="shared" si="56"/>
        <v/>
      </c>
      <c r="AW95" s="48" t="str">
        <f t="shared" si="57"/>
        <v/>
      </c>
      <c r="AX95" s="48" t="str">
        <f t="shared" si="58"/>
        <v/>
      </c>
      <c r="AY95" s="48" t="str">
        <f t="shared" si="59"/>
        <v/>
      </c>
      <c r="AZ95" s="48" t="str">
        <f t="shared" si="60"/>
        <v/>
      </c>
      <c r="BA95" s="48" t="str">
        <f t="shared" si="61"/>
        <v/>
      </c>
      <c r="BB95" s="48" t="str">
        <f t="shared" si="62"/>
        <v/>
      </c>
    </row>
    <row r="96" spans="1:54" x14ac:dyDescent="0.2">
      <c r="A96" s="30"/>
      <c r="B96" s="23"/>
      <c r="C96" s="23"/>
      <c r="D96" s="24"/>
      <c r="E96" s="24"/>
      <c r="F96" s="24"/>
      <c r="G96" s="24"/>
      <c r="H96" s="10" t="str">
        <f t="shared" si="33"/>
        <v/>
      </c>
      <c r="I96" s="10" t="str">
        <f t="shared" si="34"/>
        <v/>
      </c>
      <c r="J96" s="24"/>
      <c r="K96" s="13" t="str">
        <f t="shared" si="35"/>
        <v/>
      </c>
      <c r="L96" s="13" t="str">
        <f t="shared" si="36"/>
        <v/>
      </c>
      <c r="M96" s="25"/>
      <c r="N96" s="25"/>
      <c r="O96" s="22"/>
      <c r="P96" s="11" t="str">
        <f t="shared" si="37"/>
        <v/>
      </c>
      <c r="Q96" s="26"/>
      <c r="R96" s="22"/>
      <c r="S96" s="29" t="str">
        <f t="shared" si="38"/>
        <v/>
      </c>
      <c r="T96" s="12" t="str">
        <f t="shared" si="39"/>
        <v/>
      </c>
      <c r="U96" s="12" t="str">
        <f t="shared" si="40"/>
        <v/>
      </c>
      <c r="V96" s="12" t="str">
        <f>IF(AND($B96="",$C96=""),"",HLOOKUP(VLOOKUP($B$1,'Cidade-ER'!$A:$B,2,0),$AP$6:$BB96,ROW()-5,0))</f>
        <v/>
      </c>
      <c r="W96" s="12" t="str">
        <f t="shared" si="41"/>
        <v/>
      </c>
      <c r="X96" s="12" t="str">
        <f t="shared" si="42"/>
        <v/>
      </c>
      <c r="Y96" s="14" t="str">
        <f t="shared" si="43"/>
        <v/>
      </c>
      <c r="Z96" s="12" t="str">
        <f t="shared" si="44"/>
        <v/>
      </c>
      <c r="AA96" s="12" t="str">
        <f>IF(AND($B96="",$C96=""),"",(Sarjeta!$C$17^(5/3))*(Sarjeta!$C$16^(-2/3))*(ABS($K96)^0.5)/Sarjeta!$C$14*1000*2)</f>
        <v/>
      </c>
      <c r="AB96" s="12" t="str">
        <f>IF(AND($B96="",$C96=""),"",(Sarjeta!$C$17/Sarjeta!$C$16)^(2/3)*(ABS($K96)^0.5)/Sarjeta!$C$14)</f>
        <v/>
      </c>
      <c r="AC96" s="36" t="str">
        <f>IF(AND($B96="",$C96=""),"",IF(Z96&lt;AA96,0,MAX(ROUND(Z96/AA96,0)*2,ROUNDUP(ROUND(Z96/Sarjeta!$C$19,0)/2,0)*2)))</f>
        <v/>
      </c>
      <c r="AD96" s="26"/>
      <c r="AE96" s="27"/>
      <c r="AF96" s="32" t="str">
        <f>IF(OR($AE96="",AND($B96="",$C96="")),"",IF(ISERROR(VLOOKUP(AL96,Coeficientes!$A:$C,3,1)),0.05,VLOOKUP(AL96,Coeficientes!$A:$C,3,1)))</f>
        <v/>
      </c>
      <c r="AG96" s="12" t="str">
        <f t="shared" si="32"/>
        <v/>
      </c>
      <c r="AH96" s="30"/>
      <c r="AI96" s="31"/>
      <c r="AJ96" s="48" t="str">
        <f t="shared" si="45"/>
        <v/>
      </c>
      <c r="AK96" s="48" t="str">
        <f t="shared" si="46"/>
        <v/>
      </c>
      <c r="AL96" s="48" t="str">
        <f t="shared" si="47"/>
        <v/>
      </c>
      <c r="AM96" s="48" t="str">
        <f>IF(AND($B96="",$C96=""),"",VLOOKUP($AF96,Coeficientes!$C:$D,2,0))</f>
        <v/>
      </c>
      <c r="AN96" s="48" t="str">
        <f t="shared" si="48"/>
        <v/>
      </c>
      <c r="AO96" s="48" t="str">
        <f t="shared" si="49"/>
        <v/>
      </c>
      <c r="AP96" s="48" t="str">
        <f t="shared" si="50"/>
        <v/>
      </c>
      <c r="AQ96" s="48" t="str">
        <f t="shared" si="51"/>
        <v/>
      </c>
      <c r="AR96" s="48" t="str">
        <f t="shared" si="52"/>
        <v/>
      </c>
      <c r="AS96" s="48" t="str">
        <f t="shared" si="53"/>
        <v/>
      </c>
      <c r="AT96" s="48" t="str">
        <f t="shared" si="54"/>
        <v/>
      </c>
      <c r="AU96" s="48" t="str">
        <f t="shared" si="55"/>
        <v/>
      </c>
      <c r="AV96" s="48" t="str">
        <f t="shared" si="56"/>
        <v/>
      </c>
      <c r="AW96" s="48" t="str">
        <f t="shared" si="57"/>
        <v/>
      </c>
      <c r="AX96" s="48" t="str">
        <f t="shared" si="58"/>
        <v/>
      </c>
      <c r="AY96" s="48" t="str">
        <f t="shared" si="59"/>
        <v/>
      </c>
      <c r="AZ96" s="48" t="str">
        <f t="shared" si="60"/>
        <v/>
      </c>
      <c r="BA96" s="48" t="str">
        <f t="shared" si="61"/>
        <v/>
      </c>
      <c r="BB96" s="48" t="str">
        <f t="shared" si="62"/>
        <v/>
      </c>
    </row>
    <row r="97" spans="1:54" x14ac:dyDescent="0.2">
      <c r="A97" s="30"/>
      <c r="B97" s="23"/>
      <c r="C97" s="23"/>
      <c r="D97" s="24"/>
      <c r="E97" s="24"/>
      <c r="F97" s="24"/>
      <c r="G97" s="24"/>
      <c r="H97" s="10" t="str">
        <f t="shared" si="33"/>
        <v/>
      </c>
      <c r="I97" s="10" t="str">
        <f t="shared" si="34"/>
        <v/>
      </c>
      <c r="J97" s="24"/>
      <c r="K97" s="13" t="str">
        <f t="shared" si="35"/>
        <v/>
      </c>
      <c r="L97" s="13" t="str">
        <f t="shared" si="36"/>
        <v/>
      </c>
      <c r="M97" s="25"/>
      <c r="N97" s="25"/>
      <c r="O97" s="22"/>
      <c r="P97" s="11" t="str">
        <f t="shared" si="37"/>
        <v/>
      </c>
      <c r="Q97" s="26"/>
      <c r="R97" s="22"/>
      <c r="S97" s="29" t="str">
        <f t="shared" si="38"/>
        <v/>
      </c>
      <c r="T97" s="12" t="str">
        <f t="shared" si="39"/>
        <v/>
      </c>
      <c r="U97" s="12" t="str">
        <f t="shared" si="40"/>
        <v/>
      </c>
      <c r="V97" s="12" t="str">
        <f>IF(AND($B97="",$C97=""),"",HLOOKUP(VLOOKUP($B$1,'Cidade-ER'!$A:$B,2,0),$AP$6:$BB97,ROW()-5,0))</f>
        <v/>
      </c>
      <c r="W97" s="12" t="str">
        <f t="shared" si="41"/>
        <v/>
      </c>
      <c r="X97" s="12" t="str">
        <f t="shared" si="42"/>
        <v/>
      </c>
      <c r="Y97" s="14" t="str">
        <f t="shared" si="43"/>
        <v/>
      </c>
      <c r="Z97" s="12" t="str">
        <f t="shared" si="44"/>
        <v/>
      </c>
      <c r="AA97" s="12" t="str">
        <f>IF(AND($B97="",$C97=""),"",(Sarjeta!$C$17^(5/3))*(Sarjeta!$C$16^(-2/3))*(ABS($K97)^0.5)/Sarjeta!$C$14*1000*2)</f>
        <v/>
      </c>
      <c r="AB97" s="12" t="str">
        <f>IF(AND($B97="",$C97=""),"",(Sarjeta!$C$17/Sarjeta!$C$16)^(2/3)*(ABS($K97)^0.5)/Sarjeta!$C$14)</f>
        <v/>
      </c>
      <c r="AC97" s="36" t="str">
        <f>IF(AND($B97="",$C97=""),"",IF(Z97&lt;AA97,0,MAX(ROUND(Z97/AA97,0)*2,ROUNDUP(ROUND(Z97/Sarjeta!$C$19,0)/2,0)*2)))</f>
        <v/>
      </c>
      <c r="AD97" s="26"/>
      <c r="AE97" s="27"/>
      <c r="AF97" s="32" t="str">
        <f>IF(OR($AE97="",AND($B97="",$C97="")),"",IF(ISERROR(VLOOKUP(AL97,Coeficientes!$A:$C,3,1)),0.05,VLOOKUP(AL97,Coeficientes!$A:$C,3,1)))</f>
        <v/>
      </c>
      <c r="AG97" s="12" t="str">
        <f t="shared" si="32"/>
        <v/>
      </c>
      <c r="AH97" s="30"/>
      <c r="AI97" s="31"/>
      <c r="AJ97" s="48" t="str">
        <f t="shared" si="45"/>
        <v/>
      </c>
      <c r="AK97" s="48" t="str">
        <f t="shared" si="46"/>
        <v/>
      </c>
      <c r="AL97" s="48" t="str">
        <f t="shared" si="47"/>
        <v/>
      </c>
      <c r="AM97" s="48" t="str">
        <f>IF(AND($B97="",$C97=""),"",VLOOKUP($AF97,Coeficientes!$C:$D,2,0))</f>
        <v/>
      </c>
      <c r="AN97" s="48" t="str">
        <f t="shared" si="48"/>
        <v/>
      </c>
      <c r="AO97" s="48" t="str">
        <f t="shared" si="49"/>
        <v/>
      </c>
      <c r="AP97" s="48" t="str">
        <f t="shared" si="50"/>
        <v/>
      </c>
      <c r="AQ97" s="48" t="str">
        <f t="shared" si="51"/>
        <v/>
      </c>
      <c r="AR97" s="48" t="str">
        <f t="shared" si="52"/>
        <v/>
      </c>
      <c r="AS97" s="48" t="str">
        <f t="shared" si="53"/>
        <v/>
      </c>
      <c r="AT97" s="48" t="str">
        <f t="shared" si="54"/>
        <v/>
      </c>
      <c r="AU97" s="48" t="str">
        <f t="shared" si="55"/>
        <v/>
      </c>
      <c r="AV97" s="48" t="str">
        <f t="shared" si="56"/>
        <v/>
      </c>
      <c r="AW97" s="48" t="str">
        <f t="shared" si="57"/>
        <v/>
      </c>
      <c r="AX97" s="48" t="str">
        <f t="shared" si="58"/>
        <v/>
      </c>
      <c r="AY97" s="48" t="str">
        <f t="shared" si="59"/>
        <v/>
      </c>
      <c r="AZ97" s="48" t="str">
        <f t="shared" si="60"/>
        <v/>
      </c>
      <c r="BA97" s="48" t="str">
        <f t="shared" si="61"/>
        <v/>
      </c>
      <c r="BB97" s="48" t="str">
        <f t="shared" si="62"/>
        <v/>
      </c>
    </row>
    <row r="98" spans="1:54" x14ac:dyDescent="0.2">
      <c r="A98" s="30"/>
      <c r="B98" s="23"/>
      <c r="C98" s="23"/>
      <c r="D98" s="24"/>
      <c r="E98" s="24"/>
      <c r="F98" s="24"/>
      <c r="G98" s="24"/>
      <c r="H98" s="10" t="str">
        <f t="shared" si="33"/>
        <v/>
      </c>
      <c r="I98" s="10" t="str">
        <f t="shared" si="34"/>
        <v/>
      </c>
      <c r="J98" s="24"/>
      <c r="K98" s="13" t="str">
        <f t="shared" si="35"/>
        <v/>
      </c>
      <c r="L98" s="13" t="str">
        <f t="shared" si="36"/>
        <v/>
      </c>
      <c r="M98" s="25"/>
      <c r="N98" s="25"/>
      <c r="O98" s="22"/>
      <c r="P98" s="11" t="str">
        <f t="shared" si="37"/>
        <v/>
      </c>
      <c r="Q98" s="26"/>
      <c r="R98" s="22"/>
      <c r="S98" s="29" t="str">
        <f t="shared" si="38"/>
        <v/>
      </c>
      <c r="T98" s="12" t="str">
        <f t="shared" si="39"/>
        <v/>
      </c>
      <c r="U98" s="12" t="str">
        <f t="shared" si="40"/>
        <v/>
      </c>
      <c r="V98" s="12" t="str">
        <f>IF(AND($B98="",$C98=""),"",HLOOKUP(VLOOKUP($B$1,'Cidade-ER'!$A:$B,2,0),$AP$6:$BB98,ROW()-5,0))</f>
        <v/>
      </c>
      <c r="W98" s="12" t="str">
        <f t="shared" si="41"/>
        <v/>
      </c>
      <c r="X98" s="12" t="str">
        <f t="shared" si="42"/>
        <v/>
      </c>
      <c r="Y98" s="14" t="str">
        <f t="shared" si="43"/>
        <v/>
      </c>
      <c r="Z98" s="12" t="str">
        <f t="shared" si="44"/>
        <v/>
      </c>
      <c r="AA98" s="12" t="str">
        <f>IF(AND($B98="",$C98=""),"",(Sarjeta!$C$17^(5/3))*(Sarjeta!$C$16^(-2/3))*(ABS($K98)^0.5)/Sarjeta!$C$14*1000*2)</f>
        <v/>
      </c>
      <c r="AB98" s="12" t="str">
        <f>IF(AND($B98="",$C98=""),"",(Sarjeta!$C$17/Sarjeta!$C$16)^(2/3)*(ABS($K98)^0.5)/Sarjeta!$C$14)</f>
        <v/>
      </c>
      <c r="AC98" s="36" t="str">
        <f>IF(AND($B98="",$C98=""),"",IF(Z98&lt;AA98,0,MAX(ROUND(Z98/AA98,0)*2,ROUNDUP(ROUND(Z98/Sarjeta!$C$19,0)/2,0)*2)))</f>
        <v/>
      </c>
      <c r="AD98" s="26"/>
      <c r="AE98" s="27"/>
      <c r="AF98" s="32" t="str">
        <f>IF(OR($AE98="",AND($B98="",$C98="")),"",IF(ISERROR(VLOOKUP(AL98,Coeficientes!$A:$C,3,1)),0.05,VLOOKUP(AL98,Coeficientes!$A:$C,3,1)))</f>
        <v/>
      </c>
      <c r="AG98" s="12" t="str">
        <f t="shared" si="32"/>
        <v/>
      </c>
      <c r="AH98" s="30"/>
      <c r="AI98" s="31"/>
      <c r="AJ98" s="48" t="str">
        <f t="shared" si="45"/>
        <v/>
      </c>
      <c r="AK98" s="48" t="str">
        <f t="shared" si="46"/>
        <v/>
      </c>
      <c r="AL98" s="48" t="str">
        <f t="shared" si="47"/>
        <v/>
      </c>
      <c r="AM98" s="48" t="str">
        <f>IF(AND($B98="",$C98=""),"",VLOOKUP($AF98,Coeficientes!$C:$D,2,0))</f>
        <v/>
      </c>
      <c r="AN98" s="48" t="str">
        <f t="shared" si="48"/>
        <v/>
      </c>
      <c r="AO98" s="48" t="str">
        <f t="shared" si="49"/>
        <v/>
      </c>
      <c r="AP98" s="48" t="str">
        <f t="shared" si="50"/>
        <v/>
      </c>
      <c r="AQ98" s="48" t="str">
        <f t="shared" si="51"/>
        <v/>
      </c>
      <c r="AR98" s="48" t="str">
        <f t="shared" si="52"/>
        <v/>
      </c>
      <c r="AS98" s="48" t="str">
        <f t="shared" si="53"/>
        <v/>
      </c>
      <c r="AT98" s="48" t="str">
        <f t="shared" si="54"/>
        <v/>
      </c>
      <c r="AU98" s="48" t="str">
        <f t="shared" si="55"/>
        <v/>
      </c>
      <c r="AV98" s="48" t="str">
        <f t="shared" si="56"/>
        <v/>
      </c>
      <c r="AW98" s="48" t="str">
        <f t="shared" si="57"/>
        <v/>
      </c>
      <c r="AX98" s="48" t="str">
        <f t="shared" si="58"/>
        <v/>
      </c>
      <c r="AY98" s="48" t="str">
        <f t="shared" si="59"/>
        <v/>
      </c>
      <c r="AZ98" s="48" t="str">
        <f t="shared" si="60"/>
        <v/>
      </c>
      <c r="BA98" s="48" t="str">
        <f t="shared" si="61"/>
        <v/>
      </c>
      <c r="BB98" s="48" t="str">
        <f t="shared" si="62"/>
        <v/>
      </c>
    </row>
    <row r="99" spans="1:54" x14ac:dyDescent="0.2">
      <c r="A99" s="30"/>
      <c r="B99" s="23"/>
      <c r="C99" s="23"/>
      <c r="D99" s="24"/>
      <c r="E99" s="24"/>
      <c r="F99" s="24"/>
      <c r="G99" s="24"/>
      <c r="H99" s="10" t="str">
        <f t="shared" si="33"/>
        <v/>
      </c>
      <c r="I99" s="10" t="str">
        <f t="shared" si="34"/>
        <v/>
      </c>
      <c r="J99" s="24"/>
      <c r="K99" s="13" t="str">
        <f t="shared" si="35"/>
        <v/>
      </c>
      <c r="L99" s="13" t="str">
        <f t="shared" si="36"/>
        <v/>
      </c>
      <c r="M99" s="25"/>
      <c r="N99" s="25"/>
      <c r="O99" s="22"/>
      <c r="P99" s="11" t="str">
        <f t="shared" si="37"/>
        <v/>
      </c>
      <c r="Q99" s="26"/>
      <c r="R99" s="22"/>
      <c r="S99" s="29" t="str">
        <f t="shared" si="38"/>
        <v/>
      </c>
      <c r="T99" s="12" t="str">
        <f t="shared" si="39"/>
        <v/>
      </c>
      <c r="U99" s="12" t="str">
        <f t="shared" si="40"/>
        <v/>
      </c>
      <c r="V99" s="12" t="str">
        <f>IF(AND($B99="",$C99=""),"",HLOOKUP(VLOOKUP($B$1,'Cidade-ER'!$A:$B,2,0),$AP$6:$BB99,ROW()-5,0))</f>
        <v/>
      </c>
      <c r="W99" s="12" t="str">
        <f t="shared" si="41"/>
        <v/>
      </c>
      <c r="X99" s="12" t="str">
        <f t="shared" si="42"/>
        <v/>
      </c>
      <c r="Y99" s="14" t="str">
        <f t="shared" si="43"/>
        <v/>
      </c>
      <c r="Z99" s="12" t="str">
        <f t="shared" si="44"/>
        <v/>
      </c>
      <c r="AA99" s="12" t="str">
        <f>IF(AND($B99="",$C99=""),"",(Sarjeta!$C$17^(5/3))*(Sarjeta!$C$16^(-2/3))*(ABS($K99)^0.5)/Sarjeta!$C$14*1000*2)</f>
        <v/>
      </c>
      <c r="AB99" s="12" t="str">
        <f>IF(AND($B99="",$C99=""),"",(Sarjeta!$C$17/Sarjeta!$C$16)^(2/3)*(ABS($K99)^0.5)/Sarjeta!$C$14)</f>
        <v/>
      </c>
      <c r="AC99" s="36" t="str">
        <f>IF(AND($B99="",$C99=""),"",IF(Z99&lt;AA99,0,MAX(ROUND(Z99/AA99,0)*2,ROUNDUP(ROUND(Z99/Sarjeta!$C$19,0)/2,0)*2)))</f>
        <v/>
      </c>
      <c r="AD99" s="26"/>
      <c r="AE99" s="27"/>
      <c r="AF99" s="32" t="str">
        <f>IF(OR($AE99="",AND($B99="",$C99="")),"",IF(ISERROR(VLOOKUP(AL99,Coeficientes!$A:$C,3,1)),0.05,VLOOKUP(AL99,Coeficientes!$A:$C,3,1)))</f>
        <v/>
      </c>
      <c r="AG99" s="12" t="str">
        <f t="shared" si="32"/>
        <v/>
      </c>
      <c r="AH99" s="30"/>
      <c r="AI99" s="31"/>
      <c r="AJ99" s="48" t="str">
        <f t="shared" si="45"/>
        <v/>
      </c>
      <c r="AK99" s="48" t="str">
        <f t="shared" si="46"/>
        <v/>
      </c>
      <c r="AL99" s="48" t="str">
        <f t="shared" si="47"/>
        <v/>
      </c>
      <c r="AM99" s="48" t="str">
        <f>IF(AND($B99="",$C99=""),"",VLOOKUP($AF99,Coeficientes!$C:$D,2,0))</f>
        <v/>
      </c>
      <c r="AN99" s="48" t="str">
        <f t="shared" si="48"/>
        <v/>
      </c>
      <c r="AO99" s="48" t="str">
        <f t="shared" si="49"/>
        <v/>
      </c>
      <c r="AP99" s="48" t="str">
        <f t="shared" si="50"/>
        <v/>
      </c>
      <c r="AQ99" s="48" t="str">
        <f t="shared" si="51"/>
        <v/>
      </c>
      <c r="AR99" s="48" t="str">
        <f t="shared" si="52"/>
        <v/>
      </c>
      <c r="AS99" s="48" t="str">
        <f t="shared" si="53"/>
        <v/>
      </c>
      <c r="AT99" s="48" t="str">
        <f t="shared" si="54"/>
        <v/>
      </c>
      <c r="AU99" s="48" t="str">
        <f t="shared" si="55"/>
        <v/>
      </c>
      <c r="AV99" s="48" t="str">
        <f t="shared" si="56"/>
        <v/>
      </c>
      <c r="AW99" s="48" t="str">
        <f t="shared" si="57"/>
        <v/>
      </c>
      <c r="AX99" s="48" t="str">
        <f t="shared" si="58"/>
        <v/>
      </c>
      <c r="AY99" s="48" t="str">
        <f t="shared" si="59"/>
        <v/>
      </c>
      <c r="AZ99" s="48" t="str">
        <f t="shared" si="60"/>
        <v/>
      </c>
      <c r="BA99" s="48" t="str">
        <f t="shared" si="61"/>
        <v/>
      </c>
      <c r="BB99" s="48" t="str">
        <f t="shared" si="62"/>
        <v/>
      </c>
    </row>
    <row r="100" spans="1:54" x14ac:dyDescent="0.2">
      <c r="A100" s="30"/>
      <c r="B100" s="23"/>
      <c r="C100" s="23"/>
      <c r="D100" s="24"/>
      <c r="E100" s="24"/>
      <c r="F100" s="24"/>
      <c r="G100" s="24"/>
      <c r="H100" s="10" t="str">
        <f t="shared" si="33"/>
        <v/>
      </c>
      <c r="I100" s="10" t="str">
        <f t="shared" si="34"/>
        <v/>
      </c>
      <c r="J100" s="24"/>
      <c r="K100" s="13" t="str">
        <f t="shared" si="35"/>
        <v/>
      </c>
      <c r="L100" s="13" t="str">
        <f t="shared" si="36"/>
        <v/>
      </c>
      <c r="M100" s="25"/>
      <c r="N100" s="25"/>
      <c r="O100" s="22"/>
      <c r="P100" s="11" t="str">
        <f t="shared" si="37"/>
        <v/>
      </c>
      <c r="Q100" s="26"/>
      <c r="R100" s="22"/>
      <c r="S100" s="29" t="str">
        <f t="shared" si="38"/>
        <v/>
      </c>
      <c r="T100" s="12" t="str">
        <f t="shared" si="39"/>
        <v/>
      </c>
      <c r="U100" s="12" t="str">
        <f t="shared" si="40"/>
        <v/>
      </c>
      <c r="V100" s="12" t="str">
        <f>IF(AND($B100="",$C100=""),"",HLOOKUP(VLOOKUP($B$1,'Cidade-ER'!$A:$B,2,0),$AP$6:$BB100,ROW()-5,0))</f>
        <v/>
      </c>
      <c r="W100" s="12" t="str">
        <f t="shared" si="41"/>
        <v/>
      </c>
      <c r="X100" s="12" t="str">
        <f t="shared" si="42"/>
        <v/>
      </c>
      <c r="Y100" s="14" t="str">
        <f t="shared" si="43"/>
        <v/>
      </c>
      <c r="Z100" s="12" t="str">
        <f t="shared" si="44"/>
        <v/>
      </c>
      <c r="AA100" s="12" t="str">
        <f>IF(AND($B100="",$C100=""),"",(Sarjeta!$C$17^(5/3))*(Sarjeta!$C$16^(-2/3))*(ABS($K100)^0.5)/Sarjeta!$C$14*1000*2)</f>
        <v/>
      </c>
      <c r="AB100" s="12" t="str">
        <f>IF(AND($B100="",$C100=""),"",(Sarjeta!$C$17/Sarjeta!$C$16)^(2/3)*(ABS($K100)^0.5)/Sarjeta!$C$14)</f>
        <v/>
      </c>
      <c r="AC100" s="36" t="str">
        <f>IF(AND($B100="",$C100=""),"",IF(Z100&lt;AA100,0,MAX(ROUND(Z100/AA100,0)*2,ROUNDUP(ROUND(Z100/Sarjeta!$C$19,0)/2,0)*2)))</f>
        <v/>
      </c>
      <c r="AD100" s="26"/>
      <c r="AE100" s="27"/>
      <c r="AF100" s="32" t="str">
        <f>IF(OR($AE100="",AND($B100="",$C100="")),"",IF(ISERROR(VLOOKUP(AL100,Coeficientes!$A:$C,3,1)),0.05,VLOOKUP(AL100,Coeficientes!$A:$C,3,1)))</f>
        <v/>
      </c>
      <c r="AG100" s="12" t="str">
        <f t="shared" si="32"/>
        <v/>
      </c>
      <c r="AH100" s="30"/>
      <c r="AI100" s="31"/>
      <c r="AJ100" s="48" t="str">
        <f t="shared" si="45"/>
        <v/>
      </c>
      <c r="AK100" s="48" t="str">
        <f t="shared" si="46"/>
        <v/>
      </c>
      <c r="AL100" s="48" t="str">
        <f t="shared" si="47"/>
        <v/>
      </c>
      <c r="AM100" s="48" t="str">
        <f>IF(AND($B100="",$C100=""),"",VLOOKUP($AF100,Coeficientes!$C:$D,2,0))</f>
        <v/>
      </c>
      <c r="AN100" s="48" t="str">
        <f t="shared" si="48"/>
        <v/>
      </c>
      <c r="AO100" s="48" t="str">
        <f t="shared" si="49"/>
        <v/>
      </c>
      <c r="AP100" s="48" t="str">
        <f t="shared" si="50"/>
        <v/>
      </c>
      <c r="AQ100" s="48" t="str">
        <f t="shared" si="51"/>
        <v/>
      </c>
      <c r="AR100" s="48" t="str">
        <f t="shared" si="52"/>
        <v/>
      </c>
      <c r="AS100" s="48" t="str">
        <f t="shared" si="53"/>
        <v/>
      </c>
      <c r="AT100" s="48" t="str">
        <f t="shared" si="54"/>
        <v/>
      </c>
      <c r="AU100" s="48" t="str">
        <f t="shared" si="55"/>
        <v/>
      </c>
      <c r="AV100" s="48" t="str">
        <f t="shared" si="56"/>
        <v/>
      </c>
      <c r="AW100" s="48" t="str">
        <f t="shared" si="57"/>
        <v/>
      </c>
      <c r="AX100" s="48" t="str">
        <f t="shared" si="58"/>
        <v/>
      </c>
      <c r="AY100" s="48" t="str">
        <f t="shared" si="59"/>
        <v/>
      </c>
      <c r="AZ100" s="48" t="str">
        <f t="shared" si="60"/>
        <v/>
      </c>
      <c r="BA100" s="48" t="str">
        <f t="shared" si="61"/>
        <v/>
      </c>
      <c r="BB100" s="48" t="str">
        <f t="shared" si="62"/>
        <v/>
      </c>
    </row>
    <row r="101" spans="1:54" x14ac:dyDescent="0.2">
      <c r="A101" s="30"/>
      <c r="B101" s="23"/>
      <c r="C101" s="23"/>
      <c r="D101" s="24"/>
      <c r="E101" s="24"/>
      <c r="F101" s="24"/>
      <c r="G101" s="24"/>
      <c r="H101" s="10" t="str">
        <f t="shared" si="33"/>
        <v/>
      </c>
      <c r="I101" s="10" t="str">
        <f t="shared" si="34"/>
        <v/>
      </c>
      <c r="J101" s="24"/>
      <c r="K101" s="13" t="str">
        <f t="shared" si="35"/>
        <v/>
      </c>
      <c r="L101" s="13" t="str">
        <f t="shared" si="36"/>
        <v/>
      </c>
      <c r="M101" s="25"/>
      <c r="N101" s="25"/>
      <c r="O101" s="22"/>
      <c r="P101" s="11" t="str">
        <f t="shared" si="37"/>
        <v/>
      </c>
      <c r="Q101" s="26"/>
      <c r="R101" s="22"/>
      <c r="S101" s="29" t="str">
        <f t="shared" si="38"/>
        <v/>
      </c>
      <c r="T101" s="12" t="str">
        <f t="shared" si="39"/>
        <v/>
      </c>
      <c r="U101" s="12" t="str">
        <f t="shared" si="40"/>
        <v/>
      </c>
      <c r="V101" s="12" t="str">
        <f>IF(AND($B101="",$C101=""),"",HLOOKUP(VLOOKUP($B$1,'Cidade-ER'!$A:$B,2,0),$AP$6:$BB101,ROW()-5,0))</f>
        <v/>
      </c>
      <c r="W101" s="12" t="str">
        <f t="shared" si="41"/>
        <v/>
      </c>
      <c r="X101" s="12" t="str">
        <f t="shared" si="42"/>
        <v/>
      </c>
      <c r="Y101" s="14" t="str">
        <f t="shared" si="43"/>
        <v/>
      </c>
      <c r="Z101" s="12" t="str">
        <f t="shared" si="44"/>
        <v/>
      </c>
      <c r="AA101" s="12" t="str">
        <f>IF(AND($B101="",$C101=""),"",(Sarjeta!$C$17^(5/3))*(Sarjeta!$C$16^(-2/3))*(ABS($K101)^0.5)/Sarjeta!$C$14*1000*2)</f>
        <v/>
      </c>
      <c r="AB101" s="12" t="str">
        <f>IF(AND($B101="",$C101=""),"",(Sarjeta!$C$17/Sarjeta!$C$16)^(2/3)*(ABS($K101)^0.5)/Sarjeta!$C$14)</f>
        <v/>
      </c>
      <c r="AC101" s="36" t="str">
        <f>IF(AND($B101="",$C101=""),"",IF(Z101&lt;AA101,0,MAX(ROUND(Z101/AA101,0)*2,ROUNDUP(ROUND(Z101/Sarjeta!$C$19,0)/2,0)*2)))</f>
        <v/>
      </c>
      <c r="AD101" s="26"/>
      <c r="AE101" s="27"/>
      <c r="AF101" s="32" t="str">
        <f>IF(OR($AE101="",AND($B101="",$C101="")),"",IF(ISERROR(VLOOKUP(AL101,Coeficientes!$A:$C,3,1)),0.05,VLOOKUP(AL101,Coeficientes!$A:$C,3,1)))</f>
        <v/>
      </c>
      <c r="AG101" s="12" t="str">
        <f t="shared" si="32"/>
        <v/>
      </c>
      <c r="AH101" s="30"/>
      <c r="AI101" s="31"/>
      <c r="AJ101" s="48" t="str">
        <f t="shared" si="45"/>
        <v/>
      </c>
      <c r="AK101" s="48" t="str">
        <f t="shared" si="46"/>
        <v/>
      </c>
      <c r="AL101" s="48" t="str">
        <f t="shared" si="47"/>
        <v/>
      </c>
      <c r="AM101" s="48" t="str">
        <f>IF(AND($B101="",$C101=""),"",VLOOKUP($AF101,Coeficientes!$C:$D,2,0))</f>
        <v/>
      </c>
      <c r="AN101" s="48" t="str">
        <f t="shared" si="48"/>
        <v/>
      </c>
      <c r="AO101" s="48" t="str">
        <f t="shared" si="49"/>
        <v/>
      </c>
      <c r="AP101" s="48" t="str">
        <f t="shared" si="50"/>
        <v/>
      </c>
      <c r="AQ101" s="48" t="str">
        <f t="shared" si="51"/>
        <v/>
      </c>
      <c r="AR101" s="48" t="str">
        <f t="shared" si="52"/>
        <v/>
      </c>
      <c r="AS101" s="48" t="str">
        <f t="shared" si="53"/>
        <v/>
      </c>
      <c r="AT101" s="48" t="str">
        <f t="shared" si="54"/>
        <v/>
      </c>
      <c r="AU101" s="48" t="str">
        <f t="shared" si="55"/>
        <v/>
      </c>
      <c r="AV101" s="48" t="str">
        <f t="shared" si="56"/>
        <v/>
      </c>
      <c r="AW101" s="48" t="str">
        <f t="shared" si="57"/>
        <v/>
      </c>
      <c r="AX101" s="48" t="str">
        <f t="shared" si="58"/>
        <v/>
      </c>
      <c r="AY101" s="48" t="str">
        <f t="shared" si="59"/>
        <v/>
      </c>
      <c r="AZ101" s="48" t="str">
        <f t="shared" si="60"/>
        <v/>
      </c>
      <c r="BA101" s="48" t="str">
        <f t="shared" si="61"/>
        <v/>
      </c>
      <c r="BB101" s="48" t="str">
        <f t="shared" si="62"/>
        <v/>
      </c>
    </row>
    <row r="102" spans="1:54" x14ac:dyDescent="0.2">
      <c r="A102" s="30"/>
      <c r="B102" s="23"/>
      <c r="C102" s="23"/>
      <c r="D102" s="24"/>
      <c r="E102" s="24"/>
      <c r="F102" s="24"/>
      <c r="G102" s="24"/>
      <c r="H102" s="10" t="str">
        <f t="shared" si="33"/>
        <v/>
      </c>
      <c r="I102" s="10" t="str">
        <f t="shared" si="34"/>
        <v/>
      </c>
      <c r="J102" s="24"/>
      <c r="K102" s="13" t="str">
        <f t="shared" si="35"/>
        <v/>
      </c>
      <c r="L102" s="13" t="str">
        <f t="shared" si="36"/>
        <v/>
      </c>
      <c r="M102" s="25"/>
      <c r="N102" s="25"/>
      <c r="O102" s="22"/>
      <c r="P102" s="11" t="str">
        <f t="shared" si="37"/>
        <v/>
      </c>
      <c r="Q102" s="26"/>
      <c r="R102" s="22"/>
      <c r="S102" s="29" t="str">
        <f t="shared" si="38"/>
        <v/>
      </c>
      <c r="T102" s="12" t="str">
        <f t="shared" si="39"/>
        <v/>
      </c>
      <c r="U102" s="12" t="str">
        <f t="shared" si="40"/>
        <v/>
      </c>
      <c r="V102" s="12" t="str">
        <f>IF(AND($B102="",$C102=""),"",HLOOKUP(VLOOKUP($B$1,'Cidade-ER'!$A:$B,2,0),$AP$6:$BB102,ROW()-5,0))</f>
        <v/>
      </c>
      <c r="W102" s="12" t="str">
        <f t="shared" si="41"/>
        <v/>
      </c>
      <c r="X102" s="12" t="str">
        <f t="shared" si="42"/>
        <v/>
      </c>
      <c r="Y102" s="14" t="str">
        <f t="shared" si="43"/>
        <v/>
      </c>
      <c r="Z102" s="12" t="str">
        <f t="shared" si="44"/>
        <v/>
      </c>
      <c r="AA102" s="12" t="str">
        <f>IF(AND($B102="",$C102=""),"",(Sarjeta!$C$17^(5/3))*(Sarjeta!$C$16^(-2/3))*(ABS($K102)^0.5)/Sarjeta!$C$14*1000*2)</f>
        <v/>
      </c>
      <c r="AB102" s="12" t="str">
        <f>IF(AND($B102="",$C102=""),"",(Sarjeta!$C$17/Sarjeta!$C$16)^(2/3)*(ABS($K102)^0.5)/Sarjeta!$C$14)</f>
        <v/>
      </c>
      <c r="AC102" s="36" t="str">
        <f>IF(AND($B102="",$C102=""),"",IF(Z102&lt;AA102,0,MAX(ROUND(Z102/AA102,0)*2,ROUNDUP(ROUND(Z102/Sarjeta!$C$19,0)/2,0)*2)))</f>
        <v/>
      </c>
      <c r="AD102" s="26"/>
      <c r="AE102" s="27"/>
      <c r="AF102" s="32" t="str">
        <f>IF(OR($AE102="",AND($B102="",$C102="")),"",IF(ISERROR(VLOOKUP(AL102,Coeficientes!$A:$C,3,1)),0.05,VLOOKUP(AL102,Coeficientes!$A:$C,3,1)))</f>
        <v/>
      </c>
      <c r="AG102" s="12" t="str">
        <f t="shared" si="32"/>
        <v/>
      </c>
      <c r="AH102" s="30"/>
      <c r="AI102" s="31"/>
      <c r="AJ102" s="48" t="str">
        <f t="shared" si="45"/>
        <v/>
      </c>
      <c r="AK102" s="48" t="str">
        <f t="shared" si="46"/>
        <v/>
      </c>
      <c r="AL102" s="48" t="str">
        <f t="shared" si="47"/>
        <v/>
      </c>
      <c r="AM102" s="48" t="str">
        <f>IF(AND($B102="",$C102=""),"",VLOOKUP($AF102,Coeficientes!$C:$D,2,0))</f>
        <v/>
      </c>
      <c r="AN102" s="48" t="str">
        <f t="shared" si="48"/>
        <v/>
      </c>
      <c r="AO102" s="48" t="str">
        <f t="shared" si="49"/>
        <v/>
      </c>
      <c r="AP102" s="48" t="str">
        <f t="shared" si="50"/>
        <v/>
      </c>
      <c r="AQ102" s="48" t="str">
        <f t="shared" si="51"/>
        <v/>
      </c>
      <c r="AR102" s="48" t="str">
        <f t="shared" si="52"/>
        <v/>
      </c>
      <c r="AS102" s="48" t="str">
        <f t="shared" si="53"/>
        <v/>
      </c>
      <c r="AT102" s="48" t="str">
        <f t="shared" si="54"/>
        <v/>
      </c>
      <c r="AU102" s="48" t="str">
        <f t="shared" si="55"/>
        <v/>
      </c>
      <c r="AV102" s="48" t="str">
        <f t="shared" si="56"/>
        <v/>
      </c>
      <c r="AW102" s="48" t="str">
        <f t="shared" si="57"/>
        <v/>
      </c>
      <c r="AX102" s="48" t="str">
        <f t="shared" si="58"/>
        <v/>
      </c>
      <c r="AY102" s="48" t="str">
        <f t="shared" si="59"/>
        <v/>
      </c>
      <c r="AZ102" s="48" t="str">
        <f t="shared" si="60"/>
        <v/>
      </c>
      <c r="BA102" s="48" t="str">
        <f t="shared" si="61"/>
        <v/>
      </c>
      <c r="BB102" s="48" t="str">
        <f t="shared" si="62"/>
        <v/>
      </c>
    </row>
    <row r="103" spans="1:54" x14ac:dyDescent="0.2">
      <c r="A103" s="30"/>
      <c r="B103" s="23"/>
      <c r="C103" s="23"/>
      <c r="D103" s="24"/>
      <c r="E103" s="24"/>
      <c r="F103" s="24"/>
      <c r="G103" s="24"/>
      <c r="H103" s="10" t="str">
        <f t="shared" si="33"/>
        <v/>
      </c>
      <c r="I103" s="10" t="str">
        <f t="shared" si="34"/>
        <v/>
      </c>
      <c r="J103" s="24"/>
      <c r="K103" s="13" t="str">
        <f t="shared" si="35"/>
        <v/>
      </c>
      <c r="L103" s="13" t="str">
        <f t="shared" si="36"/>
        <v/>
      </c>
      <c r="M103" s="25"/>
      <c r="N103" s="25"/>
      <c r="O103" s="22"/>
      <c r="P103" s="11" t="str">
        <f t="shared" si="37"/>
        <v/>
      </c>
      <c r="Q103" s="26"/>
      <c r="R103" s="22"/>
      <c r="S103" s="29" t="str">
        <f t="shared" si="38"/>
        <v/>
      </c>
      <c r="T103" s="12" t="str">
        <f t="shared" si="39"/>
        <v/>
      </c>
      <c r="U103" s="12" t="str">
        <f t="shared" si="40"/>
        <v/>
      </c>
      <c r="V103" s="12" t="str">
        <f>IF(AND($B103="",$C103=""),"",HLOOKUP(VLOOKUP($B$1,'Cidade-ER'!$A:$B,2,0),$AP$6:$BB103,ROW()-5,0))</f>
        <v/>
      </c>
      <c r="W103" s="12" t="str">
        <f t="shared" si="41"/>
        <v/>
      </c>
      <c r="X103" s="12" t="str">
        <f t="shared" si="42"/>
        <v/>
      </c>
      <c r="Y103" s="14" t="str">
        <f t="shared" si="43"/>
        <v/>
      </c>
      <c r="Z103" s="12" t="str">
        <f t="shared" si="44"/>
        <v/>
      </c>
      <c r="AA103" s="12" t="str">
        <f>IF(AND($B103="",$C103=""),"",(Sarjeta!$C$17^(5/3))*(Sarjeta!$C$16^(-2/3))*(ABS($K103)^0.5)/Sarjeta!$C$14*1000*2)</f>
        <v/>
      </c>
      <c r="AB103" s="12" t="str">
        <f>IF(AND($B103="",$C103=""),"",(Sarjeta!$C$17/Sarjeta!$C$16)^(2/3)*(ABS($K103)^0.5)/Sarjeta!$C$14)</f>
        <v/>
      </c>
      <c r="AC103" s="36" t="str">
        <f>IF(AND($B103="",$C103=""),"",IF(Z103&lt;AA103,0,MAX(ROUND(Z103/AA103,0)*2,ROUNDUP(ROUND(Z103/Sarjeta!$C$19,0)/2,0)*2)))</f>
        <v/>
      </c>
      <c r="AD103" s="26"/>
      <c r="AE103" s="27"/>
      <c r="AF103" s="32" t="str">
        <f>IF(OR($AE103="",AND($B103="",$C103="")),"",IF(ISERROR(VLOOKUP(AL103,Coeficientes!$A:$C,3,1)),0.05,VLOOKUP(AL103,Coeficientes!$A:$C,3,1)))</f>
        <v/>
      </c>
      <c r="AG103" s="12" t="str">
        <f t="shared" si="32"/>
        <v/>
      </c>
      <c r="AH103" s="30"/>
      <c r="AI103" s="31"/>
      <c r="AJ103" s="48" t="str">
        <f t="shared" si="45"/>
        <v/>
      </c>
      <c r="AK103" s="48" t="str">
        <f t="shared" si="46"/>
        <v/>
      </c>
      <c r="AL103" s="48" t="str">
        <f t="shared" si="47"/>
        <v/>
      </c>
      <c r="AM103" s="48" t="str">
        <f>IF(AND($B103="",$C103=""),"",VLOOKUP($AF103,Coeficientes!$C:$D,2,0))</f>
        <v/>
      </c>
      <c r="AN103" s="48" t="str">
        <f t="shared" si="48"/>
        <v/>
      </c>
      <c r="AO103" s="48" t="str">
        <f t="shared" si="49"/>
        <v/>
      </c>
      <c r="AP103" s="48" t="str">
        <f t="shared" si="50"/>
        <v/>
      </c>
      <c r="AQ103" s="48" t="str">
        <f t="shared" si="51"/>
        <v/>
      </c>
      <c r="AR103" s="48" t="str">
        <f t="shared" si="52"/>
        <v/>
      </c>
      <c r="AS103" s="48" t="str">
        <f t="shared" si="53"/>
        <v/>
      </c>
      <c r="AT103" s="48" t="str">
        <f t="shared" si="54"/>
        <v/>
      </c>
      <c r="AU103" s="48" t="str">
        <f t="shared" si="55"/>
        <v/>
      </c>
      <c r="AV103" s="48" t="str">
        <f t="shared" si="56"/>
        <v/>
      </c>
      <c r="AW103" s="48" t="str">
        <f t="shared" si="57"/>
        <v/>
      </c>
      <c r="AX103" s="48" t="str">
        <f t="shared" si="58"/>
        <v/>
      </c>
      <c r="AY103" s="48" t="str">
        <f t="shared" si="59"/>
        <v/>
      </c>
      <c r="AZ103" s="48" t="str">
        <f t="shared" si="60"/>
        <v/>
      </c>
      <c r="BA103" s="48" t="str">
        <f t="shared" si="61"/>
        <v/>
      </c>
      <c r="BB103" s="48" t="str">
        <f t="shared" si="62"/>
        <v/>
      </c>
    </row>
    <row r="104" spans="1:54" x14ac:dyDescent="0.2">
      <c r="A104" s="30"/>
      <c r="B104" s="23"/>
      <c r="C104" s="23"/>
      <c r="D104" s="24"/>
      <c r="E104" s="24"/>
      <c r="F104" s="24"/>
      <c r="G104" s="24"/>
      <c r="H104" s="10" t="str">
        <f t="shared" si="33"/>
        <v/>
      </c>
      <c r="I104" s="10" t="str">
        <f t="shared" si="34"/>
        <v/>
      </c>
      <c r="J104" s="24"/>
      <c r="K104" s="13" t="str">
        <f t="shared" si="35"/>
        <v/>
      </c>
      <c r="L104" s="13" t="str">
        <f t="shared" si="36"/>
        <v/>
      </c>
      <c r="M104" s="25"/>
      <c r="N104" s="25"/>
      <c r="O104" s="22"/>
      <c r="P104" s="11" t="str">
        <f t="shared" si="37"/>
        <v/>
      </c>
      <c r="Q104" s="26"/>
      <c r="R104" s="22"/>
      <c r="S104" s="29" t="str">
        <f t="shared" si="38"/>
        <v/>
      </c>
      <c r="T104" s="12" t="str">
        <f t="shared" si="39"/>
        <v/>
      </c>
      <c r="U104" s="12" t="str">
        <f t="shared" si="40"/>
        <v/>
      </c>
      <c r="V104" s="12" t="str">
        <f>IF(AND($B104="",$C104=""),"",HLOOKUP(VLOOKUP($B$1,'Cidade-ER'!$A:$B,2,0),$AP$6:$BB104,ROW()-5,0))</f>
        <v/>
      </c>
      <c r="W104" s="12" t="str">
        <f t="shared" si="41"/>
        <v/>
      </c>
      <c r="X104" s="12" t="str">
        <f t="shared" si="42"/>
        <v/>
      </c>
      <c r="Y104" s="14" t="str">
        <f t="shared" si="43"/>
        <v/>
      </c>
      <c r="Z104" s="12" t="str">
        <f t="shared" si="44"/>
        <v/>
      </c>
      <c r="AA104" s="12" t="str">
        <f>IF(AND($B104="",$C104=""),"",(Sarjeta!$C$17^(5/3))*(Sarjeta!$C$16^(-2/3))*(ABS($K104)^0.5)/Sarjeta!$C$14*1000*2)</f>
        <v/>
      </c>
      <c r="AB104" s="12" t="str">
        <f>IF(AND($B104="",$C104=""),"",(Sarjeta!$C$17/Sarjeta!$C$16)^(2/3)*(ABS($K104)^0.5)/Sarjeta!$C$14)</f>
        <v/>
      </c>
      <c r="AC104" s="36" t="str">
        <f>IF(AND($B104="",$C104=""),"",IF(Z104&lt;AA104,0,MAX(ROUND(Z104/AA104,0)*2,ROUNDUP(ROUND(Z104/Sarjeta!$C$19,0)/2,0)*2)))</f>
        <v/>
      </c>
      <c r="AD104" s="26"/>
      <c r="AE104" s="27"/>
      <c r="AF104" s="32" t="str">
        <f>IF(OR($AE104="",AND($B104="",$C104="")),"",IF(ISERROR(VLOOKUP(AL104,Coeficientes!$A:$C,3,1)),0.05,VLOOKUP(AL104,Coeficientes!$A:$C,3,1)))</f>
        <v/>
      </c>
      <c r="AG104" s="12" t="str">
        <f t="shared" si="32"/>
        <v/>
      </c>
      <c r="AH104" s="30"/>
      <c r="AI104" s="31"/>
      <c r="AJ104" s="48" t="str">
        <f t="shared" si="45"/>
        <v/>
      </c>
      <c r="AK104" s="48" t="str">
        <f t="shared" si="46"/>
        <v/>
      </c>
      <c r="AL104" s="48" t="str">
        <f t="shared" si="47"/>
        <v/>
      </c>
      <c r="AM104" s="48" t="str">
        <f>IF(AND($B104="",$C104=""),"",VLOOKUP($AF104,Coeficientes!$C:$D,2,0))</f>
        <v/>
      </c>
      <c r="AN104" s="48" t="str">
        <f t="shared" si="48"/>
        <v/>
      </c>
      <c r="AO104" s="48" t="str">
        <f t="shared" si="49"/>
        <v/>
      </c>
      <c r="AP104" s="48" t="str">
        <f t="shared" si="50"/>
        <v/>
      </c>
      <c r="AQ104" s="48" t="str">
        <f t="shared" si="51"/>
        <v/>
      </c>
      <c r="AR104" s="48" t="str">
        <f t="shared" si="52"/>
        <v/>
      </c>
      <c r="AS104" s="48" t="str">
        <f t="shared" si="53"/>
        <v/>
      </c>
      <c r="AT104" s="48" t="str">
        <f t="shared" si="54"/>
        <v/>
      </c>
      <c r="AU104" s="48" t="str">
        <f t="shared" si="55"/>
        <v/>
      </c>
      <c r="AV104" s="48" t="str">
        <f t="shared" si="56"/>
        <v/>
      </c>
      <c r="AW104" s="48" t="str">
        <f t="shared" si="57"/>
        <v/>
      </c>
      <c r="AX104" s="48" t="str">
        <f t="shared" si="58"/>
        <v/>
      </c>
      <c r="AY104" s="48" t="str">
        <f t="shared" si="59"/>
        <v/>
      </c>
      <c r="AZ104" s="48" t="str">
        <f t="shared" si="60"/>
        <v/>
      </c>
      <c r="BA104" s="48" t="str">
        <f t="shared" si="61"/>
        <v/>
      </c>
      <c r="BB104" s="48" t="str">
        <f t="shared" si="62"/>
        <v/>
      </c>
    </row>
    <row r="105" spans="1:54" x14ac:dyDescent="0.2">
      <c r="A105" s="30"/>
      <c r="B105" s="23"/>
      <c r="C105" s="23"/>
      <c r="D105" s="24"/>
      <c r="E105" s="24"/>
      <c r="F105" s="24"/>
      <c r="G105" s="24"/>
      <c r="H105" s="10" t="str">
        <f t="shared" si="33"/>
        <v/>
      </c>
      <c r="I105" s="10" t="str">
        <f t="shared" si="34"/>
        <v/>
      </c>
      <c r="J105" s="24"/>
      <c r="K105" s="13" t="str">
        <f t="shared" si="35"/>
        <v/>
      </c>
      <c r="L105" s="13" t="str">
        <f t="shared" si="36"/>
        <v/>
      </c>
      <c r="M105" s="25"/>
      <c r="N105" s="25"/>
      <c r="O105" s="22"/>
      <c r="P105" s="11" t="str">
        <f t="shared" si="37"/>
        <v/>
      </c>
      <c r="Q105" s="26"/>
      <c r="R105" s="22"/>
      <c r="S105" s="29" t="str">
        <f t="shared" si="38"/>
        <v/>
      </c>
      <c r="T105" s="12" t="str">
        <f t="shared" si="39"/>
        <v/>
      </c>
      <c r="U105" s="12" t="str">
        <f t="shared" si="40"/>
        <v/>
      </c>
      <c r="V105" s="12" t="str">
        <f>IF(AND($B105="",$C105=""),"",HLOOKUP(VLOOKUP($B$1,'Cidade-ER'!$A:$B,2,0),$AP$6:$BB105,ROW()-5,0))</f>
        <v/>
      </c>
      <c r="W105" s="12" t="str">
        <f t="shared" si="41"/>
        <v/>
      </c>
      <c r="X105" s="12" t="str">
        <f t="shared" si="42"/>
        <v/>
      </c>
      <c r="Y105" s="14" t="str">
        <f t="shared" si="43"/>
        <v/>
      </c>
      <c r="Z105" s="12" t="str">
        <f t="shared" si="44"/>
        <v/>
      </c>
      <c r="AA105" s="12" t="str">
        <f>IF(AND($B105="",$C105=""),"",(Sarjeta!$C$17^(5/3))*(Sarjeta!$C$16^(-2/3))*(ABS($K105)^0.5)/Sarjeta!$C$14*1000*2)</f>
        <v/>
      </c>
      <c r="AB105" s="12" t="str">
        <f>IF(AND($B105="",$C105=""),"",(Sarjeta!$C$17/Sarjeta!$C$16)^(2/3)*(ABS($K105)^0.5)/Sarjeta!$C$14)</f>
        <v/>
      </c>
      <c r="AC105" s="36" t="str">
        <f>IF(AND($B105="",$C105=""),"",IF(Z105&lt;AA105,0,MAX(ROUND(Z105/AA105,0)*2,ROUNDUP(ROUND(Z105/Sarjeta!$C$19,0)/2,0)*2)))</f>
        <v/>
      </c>
      <c r="AD105" s="26"/>
      <c r="AE105" s="27"/>
      <c r="AF105" s="32" t="str">
        <f>IF(OR($AE105="",AND($B105="",$C105="")),"",IF(ISERROR(VLOOKUP(AL105,Coeficientes!$A:$C,3,1)),0.05,VLOOKUP(AL105,Coeficientes!$A:$C,3,1)))</f>
        <v/>
      </c>
      <c r="AG105" s="12" t="str">
        <f t="shared" si="32"/>
        <v/>
      </c>
      <c r="AH105" s="30"/>
      <c r="AI105" s="31"/>
      <c r="AJ105" s="48" t="str">
        <f t="shared" si="45"/>
        <v/>
      </c>
      <c r="AK105" s="48" t="str">
        <f t="shared" si="46"/>
        <v/>
      </c>
      <c r="AL105" s="48" t="str">
        <f t="shared" si="47"/>
        <v/>
      </c>
      <c r="AM105" s="48" t="str">
        <f>IF(AND($B105="",$C105=""),"",VLOOKUP($AF105,Coeficientes!$C:$D,2,0))</f>
        <v/>
      </c>
      <c r="AN105" s="48" t="str">
        <f t="shared" si="48"/>
        <v/>
      </c>
      <c r="AO105" s="48" t="str">
        <f t="shared" si="49"/>
        <v/>
      </c>
      <c r="AP105" s="48" t="str">
        <f t="shared" si="50"/>
        <v/>
      </c>
      <c r="AQ105" s="48" t="str">
        <f t="shared" si="51"/>
        <v/>
      </c>
      <c r="AR105" s="48" t="str">
        <f t="shared" si="52"/>
        <v/>
      </c>
      <c r="AS105" s="48" t="str">
        <f t="shared" si="53"/>
        <v/>
      </c>
      <c r="AT105" s="48" t="str">
        <f t="shared" si="54"/>
        <v/>
      </c>
      <c r="AU105" s="48" t="str">
        <f t="shared" si="55"/>
        <v/>
      </c>
      <c r="AV105" s="48" t="str">
        <f t="shared" si="56"/>
        <v/>
      </c>
      <c r="AW105" s="48" t="str">
        <f t="shared" si="57"/>
        <v/>
      </c>
      <c r="AX105" s="48" t="str">
        <f t="shared" si="58"/>
        <v/>
      </c>
      <c r="AY105" s="48" t="str">
        <f t="shared" si="59"/>
        <v/>
      </c>
      <c r="AZ105" s="48" t="str">
        <f t="shared" si="60"/>
        <v/>
      </c>
      <c r="BA105" s="48" t="str">
        <f t="shared" si="61"/>
        <v/>
      </c>
      <c r="BB105" s="48" t="str">
        <f t="shared" si="62"/>
        <v/>
      </c>
    </row>
    <row r="106" spans="1:54" x14ac:dyDescent="0.2">
      <c r="A106" s="30"/>
      <c r="B106" s="23"/>
      <c r="C106" s="23"/>
      <c r="D106" s="24"/>
      <c r="E106" s="24"/>
      <c r="F106" s="24"/>
      <c r="G106" s="24"/>
      <c r="H106" s="10" t="str">
        <f t="shared" si="33"/>
        <v/>
      </c>
      <c r="I106" s="10" t="str">
        <f t="shared" si="34"/>
        <v/>
      </c>
      <c r="J106" s="24"/>
      <c r="K106" s="13" t="str">
        <f t="shared" si="35"/>
        <v/>
      </c>
      <c r="L106" s="13" t="str">
        <f t="shared" si="36"/>
        <v/>
      </c>
      <c r="M106" s="25"/>
      <c r="N106" s="25"/>
      <c r="O106" s="22"/>
      <c r="P106" s="11" t="str">
        <f t="shared" si="37"/>
        <v/>
      </c>
      <c r="Q106" s="26"/>
      <c r="R106" s="22"/>
      <c r="S106" s="29" t="str">
        <f t="shared" si="38"/>
        <v/>
      </c>
      <c r="T106" s="12" t="str">
        <f t="shared" si="39"/>
        <v/>
      </c>
      <c r="U106" s="12" t="str">
        <f t="shared" si="40"/>
        <v/>
      </c>
      <c r="V106" s="12" t="str">
        <f>IF(AND($B106="",$C106=""),"",HLOOKUP(VLOOKUP($B$1,'Cidade-ER'!$A:$B,2,0),$AP$6:$BB106,ROW()-5,0))</f>
        <v/>
      </c>
      <c r="W106" s="12" t="str">
        <f t="shared" si="41"/>
        <v/>
      </c>
      <c r="X106" s="12" t="str">
        <f t="shared" si="42"/>
        <v/>
      </c>
      <c r="Y106" s="14" t="str">
        <f t="shared" si="43"/>
        <v/>
      </c>
      <c r="Z106" s="12" t="str">
        <f t="shared" si="44"/>
        <v/>
      </c>
      <c r="AA106" s="12" t="str">
        <f>IF(AND($B106="",$C106=""),"",(Sarjeta!$C$17^(5/3))*(Sarjeta!$C$16^(-2/3))*(ABS($K106)^0.5)/Sarjeta!$C$14*1000*2)</f>
        <v/>
      </c>
      <c r="AB106" s="12" t="str">
        <f>IF(AND($B106="",$C106=""),"",(Sarjeta!$C$17/Sarjeta!$C$16)^(2/3)*(ABS($K106)^0.5)/Sarjeta!$C$14)</f>
        <v/>
      </c>
      <c r="AC106" s="36" t="str">
        <f>IF(AND($B106="",$C106=""),"",IF(Z106&lt;AA106,0,MAX(ROUND(Z106/AA106,0)*2,ROUNDUP(ROUND(Z106/Sarjeta!$C$19,0)/2,0)*2)))</f>
        <v/>
      </c>
      <c r="AD106" s="26"/>
      <c r="AE106" s="27"/>
      <c r="AF106" s="32" t="str">
        <f>IF(OR($AE106="",AND($B106="",$C106="")),"",IF(ISERROR(VLOOKUP(AL106,Coeficientes!$A:$C,3,1)),0.05,VLOOKUP(AL106,Coeficientes!$A:$C,3,1)))</f>
        <v/>
      </c>
      <c r="AG106" s="12" t="str">
        <f t="shared" si="32"/>
        <v/>
      </c>
      <c r="AH106" s="30"/>
      <c r="AI106" s="31"/>
      <c r="AJ106" s="48" t="str">
        <f t="shared" si="45"/>
        <v/>
      </c>
      <c r="AK106" s="48" t="str">
        <f t="shared" si="46"/>
        <v/>
      </c>
      <c r="AL106" s="48" t="str">
        <f t="shared" si="47"/>
        <v/>
      </c>
      <c r="AM106" s="48" t="str">
        <f>IF(AND($B106="",$C106=""),"",VLOOKUP($AF106,Coeficientes!$C:$D,2,0))</f>
        <v/>
      </c>
      <c r="AN106" s="48" t="str">
        <f t="shared" si="48"/>
        <v/>
      </c>
      <c r="AO106" s="48" t="str">
        <f t="shared" si="49"/>
        <v/>
      </c>
      <c r="AP106" s="48" t="str">
        <f t="shared" si="50"/>
        <v/>
      </c>
      <c r="AQ106" s="48" t="str">
        <f t="shared" si="51"/>
        <v/>
      </c>
      <c r="AR106" s="48" t="str">
        <f t="shared" si="52"/>
        <v/>
      </c>
      <c r="AS106" s="48" t="str">
        <f t="shared" si="53"/>
        <v/>
      </c>
      <c r="AT106" s="48" t="str">
        <f t="shared" si="54"/>
        <v/>
      </c>
      <c r="AU106" s="48" t="str">
        <f t="shared" si="55"/>
        <v/>
      </c>
      <c r="AV106" s="48" t="str">
        <f t="shared" si="56"/>
        <v/>
      </c>
      <c r="AW106" s="48" t="str">
        <f t="shared" si="57"/>
        <v/>
      </c>
      <c r="AX106" s="48" t="str">
        <f t="shared" si="58"/>
        <v/>
      </c>
      <c r="AY106" s="48" t="str">
        <f t="shared" si="59"/>
        <v/>
      </c>
      <c r="AZ106" s="48" t="str">
        <f t="shared" si="60"/>
        <v/>
      </c>
      <c r="BA106" s="48" t="str">
        <f t="shared" si="61"/>
        <v/>
      </c>
      <c r="BB106" s="48" t="str">
        <f t="shared" si="62"/>
        <v/>
      </c>
    </row>
    <row r="107" spans="1:54" x14ac:dyDescent="0.2">
      <c r="A107" s="30"/>
      <c r="B107" s="23"/>
      <c r="C107" s="23"/>
      <c r="D107" s="24"/>
      <c r="E107" s="24"/>
      <c r="F107" s="24"/>
      <c r="G107" s="24"/>
      <c r="H107" s="10" t="str">
        <f t="shared" si="33"/>
        <v/>
      </c>
      <c r="I107" s="10" t="str">
        <f t="shared" si="34"/>
        <v/>
      </c>
      <c r="J107" s="24"/>
      <c r="K107" s="13" t="str">
        <f t="shared" si="35"/>
        <v/>
      </c>
      <c r="L107" s="13" t="str">
        <f t="shared" si="36"/>
        <v/>
      </c>
      <c r="M107" s="25"/>
      <c r="N107" s="25"/>
      <c r="O107" s="22"/>
      <c r="P107" s="11" t="str">
        <f t="shared" si="37"/>
        <v/>
      </c>
      <c r="Q107" s="26"/>
      <c r="R107" s="22"/>
      <c r="S107" s="29" t="str">
        <f t="shared" si="38"/>
        <v/>
      </c>
      <c r="T107" s="12" t="str">
        <f t="shared" si="39"/>
        <v/>
      </c>
      <c r="U107" s="12" t="str">
        <f t="shared" si="40"/>
        <v/>
      </c>
      <c r="V107" s="12" t="str">
        <f>IF(AND($B107="",$C107=""),"",HLOOKUP(VLOOKUP($B$1,'Cidade-ER'!$A:$B,2,0),$AP$6:$BB107,ROW()-5,0))</f>
        <v/>
      </c>
      <c r="W107" s="12" t="str">
        <f t="shared" si="41"/>
        <v/>
      </c>
      <c r="X107" s="12" t="str">
        <f t="shared" si="42"/>
        <v/>
      </c>
      <c r="Y107" s="14" t="str">
        <f t="shared" si="43"/>
        <v/>
      </c>
      <c r="Z107" s="12" t="str">
        <f t="shared" si="44"/>
        <v/>
      </c>
      <c r="AA107" s="12" t="str">
        <f>IF(AND($B107="",$C107=""),"",(Sarjeta!$C$17^(5/3))*(Sarjeta!$C$16^(-2/3))*(ABS($K107)^0.5)/Sarjeta!$C$14*1000*2)</f>
        <v/>
      </c>
      <c r="AB107" s="12" t="str">
        <f>IF(AND($B107="",$C107=""),"",(Sarjeta!$C$17/Sarjeta!$C$16)^(2/3)*(ABS($K107)^0.5)/Sarjeta!$C$14)</f>
        <v/>
      </c>
      <c r="AC107" s="36" t="str">
        <f>IF(AND($B107="",$C107=""),"",IF(Z107&lt;AA107,0,MAX(ROUND(Z107/AA107,0)*2,ROUNDUP(ROUND(Z107/Sarjeta!$C$19,0)/2,0)*2)))</f>
        <v/>
      </c>
      <c r="AD107" s="26"/>
      <c r="AE107" s="27"/>
      <c r="AF107" s="32" t="str">
        <f>IF(OR($AE107="",AND($B107="",$C107="")),"",IF(ISERROR(VLOOKUP(AL107,Coeficientes!$A:$C,3,1)),0.05,VLOOKUP(AL107,Coeficientes!$A:$C,3,1)))</f>
        <v/>
      </c>
      <c r="AG107" s="12" t="str">
        <f t="shared" si="32"/>
        <v/>
      </c>
      <c r="AH107" s="30"/>
      <c r="AI107" s="31"/>
      <c r="AJ107" s="48" t="str">
        <f t="shared" si="45"/>
        <v/>
      </c>
      <c r="AK107" s="48" t="str">
        <f t="shared" si="46"/>
        <v/>
      </c>
      <c r="AL107" s="48" t="str">
        <f t="shared" si="47"/>
        <v/>
      </c>
      <c r="AM107" s="48" t="str">
        <f>IF(AND($B107="",$C107=""),"",VLOOKUP($AF107,Coeficientes!$C:$D,2,0))</f>
        <v/>
      </c>
      <c r="AN107" s="48" t="str">
        <f t="shared" si="48"/>
        <v/>
      </c>
      <c r="AO107" s="48" t="str">
        <f t="shared" si="49"/>
        <v/>
      </c>
      <c r="AP107" s="48" t="str">
        <f t="shared" si="50"/>
        <v/>
      </c>
      <c r="AQ107" s="48" t="str">
        <f t="shared" si="51"/>
        <v/>
      </c>
      <c r="AR107" s="48" t="str">
        <f t="shared" si="52"/>
        <v/>
      </c>
      <c r="AS107" s="48" t="str">
        <f t="shared" si="53"/>
        <v/>
      </c>
      <c r="AT107" s="48" t="str">
        <f t="shared" si="54"/>
        <v/>
      </c>
      <c r="AU107" s="48" t="str">
        <f t="shared" si="55"/>
        <v/>
      </c>
      <c r="AV107" s="48" t="str">
        <f t="shared" si="56"/>
        <v/>
      </c>
      <c r="AW107" s="48" t="str">
        <f t="shared" si="57"/>
        <v/>
      </c>
      <c r="AX107" s="48" t="str">
        <f t="shared" si="58"/>
        <v/>
      </c>
      <c r="AY107" s="48" t="str">
        <f t="shared" si="59"/>
        <v/>
      </c>
      <c r="AZ107" s="48" t="str">
        <f t="shared" si="60"/>
        <v/>
      </c>
      <c r="BA107" s="48" t="str">
        <f t="shared" si="61"/>
        <v/>
      </c>
      <c r="BB107" s="48" t="str">
        <f t="shared" si="62"/>
        <v/>
      </c>
    </row>
    <row r="108" spans="1:54" x14ac:dyDescent="0.2">
      <c r="A108" s="30"/>
      <c r="B108" s="23"/>
      <c r="C108" s="23"/>
      <c r="D108" s="24"/>
      <c r="E108" s="24"/>
      <c r="F108" s="24"/>
      <c r="G108" s="24"/>
      <c r="H108" s="10" t="str">
        <f t="shared" si="33"/>
        <v/>
      </c>
      <c r="I108" s="10" t="str">
        <f t="shared" si="34"/>
        <v/>
      </c>
      <c r="J108" s="24"/>
      <c r="K108" s="13" t="str">
        <f t="shared" si="35"/>
        <v/>
      </c>
      <c r="L108" s="13" t="str">
        <f t="shared" si="36"/>
        <v/>
      </c>
      <c r="M108" s="25"/>
      <c r="N108" s="25"/>
      <c r="O108" s="22"/>
      <c r="P108" s="11" t="str">
        <f t="shared" si="37"/>
        <v/>
      </c>
      <c r="Q108" s="26"/>
      <c r="R108" s="22"/>
      <c r="S108" s="29" t="str">
        <f t="shared" si="38"/>
        <v/>
      </c>
      <c r="T108" s="12" t="str">
        <f t="shared" si="39"/>
        <v/>
      </c>
      <c r="U108" s="12" t="str">
        <f t="shared" si="40"/>
        <v/>
      </c>
      <c r="V108" s="12" t="str">
        <f>IF(AND($B108="",$C108=""),"",HLOOKUP(VLOOKUP($B$1,'Cidade-ER'!$A:$B,2,0),$AP$6:$BB108,ROW()-5,0))</f>
        <v/>
      </c>
      <c r="W108" s="12" t="str">
        <f t="shared" si="41"/>
        <v/>
      </c>
      <c r="X108" s="12" t="str">
        <f t="shared" si="42"/>
        <v/>
      </c>
      <c r="Y108" s="14" t="str">
        <f t="shared" si="43"/>
        <v/>
      </c>
      <c r="Z108" s="12" t="str">
        <f t="shared" si="44"/>
        <v/>
      </c>
      <c r="AA108" s="12" t="str">
        <f>IF(AND($B108="",$C108=""),"",(Sarjeta!$C$17^(5/3))*(Sarjeta!$C$16^(-2/3))*(ABS($K108)^0.5)/Sarjeta!$C$14*1000*2)</f>
        <v/>
      </c>
      <c r="AB108" s="12" t="str">
        <f>IF(AND($B108="",$C108=""),"",(Sarjeta!$C$17/Sarjeta!$C$16)^(2/3)*(ABS($K108)^0.5)/Sarjeta!$C$14)</f>
        <v/>
      </c>
      <c r="AC108" s="36" t="str">
        <f>IF(AND($B108="",$C108=""),"",IF(Z108&lt;AA108,0,MAX(ROUND(Z108/AA108,0)*2,ROUNDUP(ROUND(Z108/Sarjeta!$C$19,0)/2,0)*2)))</f>
        <v/>
      </c>
      <c r="AD108" s="26"/>
      <c r="AE108" s="27"/>
      <c r="AF108" s="32" t="str">
        <f>IF(OR($AE108="",AND($B108="",$C108="")),"",IF(ISERROR(VLOOKUP(AL108,Coeficientes!$A:$C,3,1)),0.05,VLOOKUP(AL108,Coeficientes!$A:$C,3,1)))</f>
        <v/>
      </c>
      <c r="AG108" s="12" t="str">
        <f t="shared" si="32"/>
        <v/>
      </c>
      <c r="AH108" s="30"/>
      <c r="AI108" s="31"/>
      <c r="AJ108" s="48" t="str">
        <f t="shared" si="45"/>
        <v/>
      </c>
      <c r="AK108" s="48" t="str">
        <f t="shared" si="46"/>
        <v/>
      </c>
      <c r="AL108" s="48" t="str">
        <f t="shared" si="47"/>
        <v/>
      </c>
      <c r="AM108" s="48" t="str">
        <f>IF(AND($B108="",$C108=""),"",VLOOKUP($AF108,Coeficientes!$C:$D,2,0))</f>
        <v/>
      </c>
      <c r="AN108" s="48" t="str">
        <f t="shared" si="48"/>
        <v/>
      </c>
      <c r="AO108" s="48" t="str">
        <f t="shared" si="49"/>
        <v/>
      </c>
      <c r="AP108" s="48" t="str">
        <f t="shared" si="50"/>
        <v/>
      </c>
      <c r="AQ108" s="48" t="str">
        <f t="shared" si="51"/>
        <v/>
      </c>
      <c r="AR108" s="48" t="str">
        <f t="shared" si="52"/>
        <v/>
      </c>
      <c r="AS108" s="48" t="str">
        <f t="shared" si="53"/>
        <v/>
      </c>
      <c r="AT108" s="48" t="str">
        <f t="shared" si="54"/>
        <v/>
      </c>
      <c r="AU108" s="48" t="str">
        <f t="shared" si="55"/>
        <v/>
      </c>
      <c r="AV108" s="48" t="str">
        <f t="shared" si="56"/>
        <v/>
      </c>
      <c r="AW108" s="48" t="str">
        <f t="shared" si="57"/>
        <v/>
      </c>
      <c r="AX108" s="48" t="str">
        <f t="shared" si="58"/>
        <v/>
      </c>
      <c r="AY108" s="48" t="str">
        <f t="shared" si="59"/>
        <v/>
      </c>
      <c r="AZ108" s="48" t="str">
        <f t="shared" si="60"/>
        <v/>
      </c>
      <c r="BA108" s="48" t="str">
        <f t="shared" si="61"/>
        <v/>
      </c>
      <c r="BB108" s="48" t="str">
        <f t="shared" si="62"/>
        <v/>
      </c>
    </row>
    <row r="109" spans="1:54" x14ac:dyDescent="0.2">
      <c r="A109" s="30"/>
      <c r="B109" s="23"/>
      <c r="C109" s="23"/>
      <c r="D109" s="24"/>
      <c r="E109" s="24"/>
      <c r="F109" s="24"/>
      <c r="G109" s="24"/>
      <c r="H109" s="10" t="str">
        <f t="shared" si="33"/>
        <v/>
      </c>
      <c r="I109" s="10" t="str">
        <f t="shared" si="34"/>
        <v/>
      </c>
      <c r="J109" s="24"/>
      <c r="K109" s="13" t="str">
        <f t="shared" si="35"/>
        <v/>
      </c>
      <c r="L109" s="13" t="str">
        <f t="shared" si="36"/>
        <v/>
      </c>
      <c r="M109" s="25"/>
      <c r="N109" s="25"/>
      <c r="O109" s="22"/>
      <c r="P109" s="11" t="str">
        <f t="shared" si="37"/>
        <v/>
      </c>
      <c r="Q109" s="26"/>
      <c r="R109" s="22"/>
      <c r="S109" s="29" t="str">
        <f t="shared" si="38"/>
        <v/>
      </c>
      <c r="T109" s="12" t="str">
        <f t="shared" si="39"/>
        <v/>
      </c>
      <c r="U109" s="12" t="str">
        <f t="shared" si="40"/>
        <v/>
      </c>
      <c r="V109" s="12" t="str">
        <f>IF(AND($B109="",$C109=""),"",HLOOKUP(VLOOKUP($B$1,'Cidade-ER'!$A:$B,2,0),$AP$6:$BB109,ROW()-5,0))</f>
        <v/>
      </c>
      <c r="W109" s="12" t="str">
        <f t="shared" si="41"/>
        <v/>
      </c>
      <c r="X109" s="12" t="str">
        <f t="shared" si="42"/>
        <v/>
      </c>
      <c r="Y109" s="14" t="str">
        <f t="shared" si="43"/>
        <v/>
      </c>
      <c r="Z109" s="12" t="str">
        <f t="shared" si="44"/>
        <v/>
      </c>
      <c r="AA109" s="12" t="str">
        <f>IF(AND($B109="",$C109=""),"",(Sarjeta!$C$17^(5/3))*(Sarjeta!$C$16^(-2/3))*(ABS($K109)^0.5)/Sarjeta!$C$14*1000*2)</f>
        <v/>
      </c>
      <c r="AB109" s="12" t="str">
        <f>IF(AND($B109="",$C109=""),"",(Sarjeta!$C$17/Sarjeta!$C$16)^(2/3)*(ABS($K109)^0.5)/Sarjeta!$C$14)</f>
        <v/>
      </c>
      <c r="AC109" s="36" t="str">
        <f>IF(AND($B109="",$C109=""),"",IF(Z109&lt;AA109,0,MAX(ROUND(Z109/AA109,0)*2,ROUNDUP(ROUND(Z109/Sarjeta!$C$19,0)/2,0)*2)))</f>
        <v/>
      </c>
      <c r="AD109" s="26"/>
      <c r="AE109" s="27"/>
      <c r="AF109" s="32" t="str">
        <f>IF(OR($AE109="",AND($B109="",$C109="")),"",IF(ISERROR(VLOOKUP(AL109,Coeficientes!$A:$C,3,1)),0.05,VLOOKUP(AL109,Coeficientes!$A:$C,3,1)))</f>
        <v/>
      </c>
      <c r="AG109" s="12" t="str">
        <f t="shared" si="32"/>
        <v/>
      </c>
      <c r="AH109" s="30"/>
      <c r="AI109" s="31"/>
      <c r="AJ109" s="48" t="str">
        <f t="shared" si="45"/>
        <v/>
      </c>
      <c r="AK109" s="48" t="str">
        <f t="shared" si="46"/>
        <v/>
      </c>
      <c r="AL109" s="48" t="str">
        <f t="shared" si="47"/>
        <v/>
      </c>
      <c r="AM109" s="48" t="str">
        <f>IF(AND($B109="",$C109=""),"",VLOOKUP($AF109,Coeficientes!$C:$D,2,0))</f>
        <v/>
      </c>
      <c r="AN109" s="48" t="str">
        <f t="shared" si="48"/>
        <v/>
      </c>
      <c r="AO109" s="48" t="str">
        <f t="shared" si="49"/>
        <v/>
      </c>
      <c r="AP109" s="48" t="str">
        <f t="shared" si="50"/>
        <v/>
      </c>
      <c r="AQ109" s="48" t="str">
        <f t="shared" si="51"/>
        <v/>
      </c>
      <c r="AR109" s="48" t="str">
        <f t="shared" si="52"/>
        <v/>
      </c>
      <c r="AS109" s="48" t="str">
        <f t="shared" si="53"/>
        <v/>
      </c>
      <c r="AT109" s="48" t="str">
        <f t="shared" si="54"/>
        <v/>
      </c>
      <c r="AU109" s="48" t="str">
        <f t="shared" si="55"/>
        <v/>
      </c>
      <c r="AV109" s="48" t="str">
        <f t="shared" si="56"/>
        <v/>
      </c>
      <c r="AW109" s="48" t="str">
        <f t="shared" si="57"/>
        <v/>
      </c>
      <c r="AX109" s="48" t="str">
        <f t="shared" si="58"/>
        <v/>
      </c>
      <c r="AY109" s="48" t="str">
        <f t="shared" si="59"/>
        <v/>
      </c>
      <c r="AZ109" s="48" t="str">
        <f t="shared" si="60"/>
        <v/>
      </c>
      <c r="BA109" s="48" t="str">
        <f t="shared" si="61"/>
        <v/>
      </c>
      <c r="BB109" s="48" t="str">
        <f t="shared" si="62"/>
        <v/>
      </c>
    </row>
    <row r="110" spans="1:54" x14ac:dyDescent="0.2">
      <c r="A110" s="30"/>
      <c r="B110" s="23"/>
      <c r="C110" s="23"/>
      <c r="D110" s="24"/>
      <c r="E110" s="24"/>
      <c r="F110" s="24"/>
      <c r="G110" s="24"/>
      <c r="H110" s="10" t="str">
        <f t="shared" si="33"/>
        <v/>
      </c>
      <c r="I110" s="10" t="str">
        <f t="shared" si="34"/>
        <v/>
      </c>
      <c r="J110" s="24"/>
      <c r="K110" s="13" t="str">
        <f t="shared" si="35"/>
        <v/>
      </c>
      <c r="L110" s="13" t="str">
        <f t="shared" si="36"/>
        <v/>
      </c>
      <c r="M110" s="25"/>
      <c r="N110" s="25"/>
      <c r="O110" s="22"/>
      <c r="P110" s="11" t="str">
        <f t="shared" si="37"/>
        <v/>
      </c>
      <c r="Q110" s="26"/>
      <c r="R110" s="22"/>
      <c r="S110" s="29" t="str">
        <f t="shared" si="38"/>
        <v/>
      </c>
      <c r="T110" s="12" t="str">
        <f t="shared" si="39"/>
        <v/>
      </c>
      <c r="U110" s="12" t="str">
        <f t="shared" si="40"/>
        <v/>
      </c>
      <c r="V110" s="12" t="str">
        <f>IF(AND($B110="",$C110=""),"",HLOOKUP(VLOOKUP($B$1,'Cidade-ER'!$A:$B,2,0),$AP$6:$BB110,ROW()-5,0))</f>
        <v/>
      </c>
      <c r="W110" s="12" t="str">
        <f t="shared" si="41"/>
        <v/>
      </c>
      <c r="X110" s="12" t="str">
        <f t="shared" si="42"/>
        <v/>
      </c>
      <c r="Y110" s="14" t="str">
        <f t="shared" si="43"/>
        <v/>
      </c>
      <c r="Z110" s="12" t="str">
        <f t="shared" si="44"/>
        <v/>
      </c>
      <c r="AA110" s="12" t="str">
        <f>IF(AND($B110="",$C110=""),"",(Sarjeta!$C$17^(5/3))*(Sarjeta!$C$16^(-2/3))*(ABS($K110)^0.5)/Sarjeta!$C$14*1000*2)</f>
        <v/>
      </c>
      <c r="AB110" s="12" t="str">
        <f>IF(AND($B110="",$C110=""),"",(Sarjeta!$C$17/Sarjeta!$C$16)^(2/3)*(ABS($K110)^0.5)/Sarjeta!$C$14)</f>
        <v/>
      </c>
      <c r="AC110" s="36" t="str">
        <f>IF(AND($B110="",$C110=""),"",IF(Z110&lt;AA110,0,MAX(ROUND(Z110/AA110,0)*2,ROUNDUP(ROUND(Z110/Sarjeta!$C$19,0)/2,0)*2)))</f>
        <v/>
      </c>
      <c r="AD110" s="26"/>
      <c r="AE110" s="27"/>
      <c r="AF110" s="32" t="str">
        <f>IF(OR($AE110="",AND($B110="",$C110="")),"",IF(ISERROR(VLOOKUP(AL110,Coeficientes!$A:$C,3,1)),0.05,VLOOKUP(AL110,Coeficientes!$A:$C,3,1)))</f>
        <v/>
      </c>
      <c r="AG110" s="12" t="str">
        <f t="shared" si="32"/>
        <v/>
      </c>
      <c r="AH110" s="30"/>
      <c r="AI110" s="31"/>
      <c r="AJ110" s="48" t="str">
        <f t="shared" si="45"/>
        <v/>
      </c>
      <c r="AK110" s="48" t="str">
        <f t="shared" si="46"/>
        <v/>
      </c>
      <c r="AL110" s="48" t="str">
        <f t="shared" si="47"/>
        <v/>
      </c>
      <c r="AM110" s="48" t="str">
        <f>IF(AND($B110="",$C110=""),"",VLOOKUP($AF110,Coeficientes!$C:$D,2,0))</f>
        <v/>
      </c>
      <c r="AN110" s="48" t="str">
        <f t="shared" si="48"/>
        <v/>
      </c>
      <c r="AO110" s="48" t="str">
        <f t="shared" si="49"/>
        <v/>
      </c>
      <c r="AP110" s="48" t="str">
        <f t="shared" si="50"/>
        <v/>
      </c>
      <c r="AQ110" s="48" t="str">
        <f t="shared" si="51"/>
        <v/>
      </c>
      <c r="AR110" s="48" t="str">
        <f t="shared" si="52"/>
        <v/>
      </c>
      <c r="AS110" s="48" t="str">
        <f t="shared" si="53"/>
        <v/>
      </c>
      <c r="AT110" s="48" t="str">
        <f t="shared" si="54"/>
        <v/>
      </c>
      <c r="AU110" s="48" t="str">
        <f t="shared" si="55"/>
        <v/>
      </c>
      <c r="AV110" s="48" t="str">
        <f t="shared" si="56"/>
        <v/>
      </c>
      <c r="AW110" s="48" t="str">
        <f t="shared" si="57"/>
        <v/>
      </c>
      <c r="AX110" s="48" t="str">
        <f t="shared" si="58"/>
        <v/>
      </c>
      <c r="AY110" s="48" t="str">
        <f t="shared" si="59"/>
        <v/>
      </c>
      <c r="AZ110" s="48" t="str">
        <f t="shared" si="60"/>
        <v/>
      </c>
      <c r="BA110" s="48" t="str">
        <f t="shared" si="61"/>
        <v/>
      </c>
      <c r="BB110" s="48" t="str">
        <f t="shared" si="62"/>
        <v/>
      </c>
    </row>
    <row r="111" spans="1:54" x14ac:dyDescent="0.2">
      <c r="A111" s="30"/>
      <c r="B111" s="23"/>
      <c r="C111" s="23"/>
      <c r="D111" s="24"/>
      <c r="E111" s="24"/>
      <c r="F111" s="24"/>
      <c r="G111" s="24"/>
      <c r="H111" s="10" t="str">
        <f t="shared" si="33"/>
        <v/>
      </c>
      <c r="I111" s="10" t="str">
        <f t="shared" si="34"/>
        <v/>
      </c>
      <c r="J111" s="24"/>
      <c r="K111" s="13" t="str">
        <f t="shared" si="35"/>
        <v/>
      </c>
      <c r="L111" s="13" t="str">
        <f t="shared" si="36"/>
        <v/>
      </c>
      <c r="M111" s="25"/>
      <c r="N111" s="25"/>
      <c r="O111" s="22"/>
      <c r="P111" s="11" t="str">
        <f t="shared" si="37"/>
        <v/>
      </c>
      <c r="Q111" s="26"/>
      <c r="R111" s="22"/>
      <c r="S111" s="29" t="str">
        <f t="shared" si="38"/>
        <v/>
      </c>
      <c r="T111" s="12" t="str">
        <f t="shared" si="39"/>
        <v/>
      </c>
      <c r="U111" s="12" t="str">
        <f t="shared" si="40"/>
        <v/>
      </c>
      <c r="V111" s="12" t="str">
        <f>IF(AND($B111="",$C111=""),"",HLOOKUP(VLOOKUP($B$1,'Cidade-ER'!$A:$B,2,0),$AP$6:$BB111,ROW()-5,0))</f>
        <v/>
      </c>
      <c r="W111" s="12" t="str">
        <f t="shared" si="41"/>
        <v/>
      </c>
      <c r="X111" s="12" t="str">
        <f t="shared" si="42"/>
        <v/>
      </c>
      <c r="Y111" s="14" t="str">
        <f t="shared" si="43"/>
        <v/>
      </c>
      <c r="Z111" s="12" t="str">
        <f t="shared" si="44"/>
        <v/>
      </c>
      <c r="AA111" s="12" t="str">
        <f>IF(AND($B111="",$C111=""),"",(Sarjeta!$C$17^(5/3))*(Sarjeta!$C$16^(-2/3))*(ABS($K111)^0.5)/Sarjeta!$C$14*1000*2)</f>
        <v/>
      </c>
      <c r="AB111" s="12" t="str">
        <f>IF(AND($B111="",$C111=""),"",(Sarjeta!$C$17/Sarjeta!$C$16)^(2/3)*(ABS($K111)^0.5)/Sarjeta!$C$14)</f>
        <v/>
      </c>
      <c r="AC111" s="36" t="str">
        <f>IF(AND($B111="",$C111=""),"",IF(Z111&lt;AA111,0,MAX(ROUND(Z111/AA111,0)*2,ROUNDUP(ROUND(Z111/Sarjeta!$C$19,0)/2,0)*2)))</f>
        <v/>
      </c>
      <c r="AD111" s="26"/>
      <c r="AE111" s="27"/>
      <c r="AF111" s="32" t="str">
        <f>IF(OR($AE111="",AND($B111="",$C111="")),"",IF(ISERROR(VLOOKUP(AL111,Coeficientes!$A:$C,3,1)),0.05,VLOOKUP(AL111,Coeficientes!$A:$C,3,1)))</f>
        <v/>
      </c>
      <c r="AG111" s="12" t="str">
        <f t="shared" si="32"/>
        <v/>
      </c>
      <c r="AH111" s="30"/>
      <c r="AI111" s="31"/>
      <c r="AJ111" s="48" t="str">
        <f t="shared" si="45"/>
        <v/>
      </c>
      <c r="AK111" s="48" t="str">
        <f t="shared" si="46"/>
        <v/>
      </c>
      <c r="AL111" s="48" t="str">
        <f t="shared" si="47"/>
        <v/>
      </c>
      <c r="AM111" s="48" t="str">
        <f>IF(AND($B111="",$C111=""),"",VLOOKUP($AF111,Coeficientes!$C:$D,2,0))</f>
        <v/>
      </c>
      <c r="AN111" s="48" t="str">
        <f t="shared" si="48"/>
        <v/>
      </c>
      <c r="AO111" s="48" t="str">
        <f t="shared" si="49"/>
        <v/>
      </c>
      <c r="AP111" s="48" t="str">
        <f t="shared" si="50"/>
        <v/>
      </c>
      <c r="AQ111" s="48" t="str">
        <f t="shared" si="51"/>
        <v/>
      </c>
      <c r="AR111" s="48" t="str">
        <f t="shared" si="52"/>
        <v/>
      </c>
      <c r="AS111" s="48" t="str">
        <f t="shared" si="53"/>
        <v/>
      </c>
      <c r="AT111" s="48" t="str">
        <f t="shared" si="54"/>
        <v/>
      </c>
      <c r="AU111" s="48" t="str">
        <f t="shared" si="55"/>
        <v/>
      </c>
      <c r="AV111" s="48" t="str">
        <f t="shared" si="56"/>
        <v/>
      </c>
      <c r="AW111" s="48" t="str">
        <f t="shared" si="57"/>
        <v/>
      </c>
      <c r="AX111" s="48" t="str">
        <f t="shared" si="58"/>
        <v/>
      </c>
      <c r="AY111" s="48" t="str">
        <f t="shared" si="59"/>
        <v/>
      </c>
      <c r="AZ111" s="48" t="str">
        <f t="shared" si="60"/>
        <v/>
      </c>
      <c r="BA111" s="48" t="str">
        <f t="shared" si="61"/>
        <v/>
      </c>
      <c r="BB111" s="48" t="str">
        <f t="shared" si="62"/>
        <v/>
      </c>
    </row>
    <row r="112" spans="1:54" x14ac:dyDescent="0.2">
      <c r="A112" s="30"/>
      <c r="B112" s="23"/>
      <c r="C112" s="23"/>
      <c r="D112" s="24"/>
      <c r="E112" s="24"/>
      <c r="F112" s="24"/>
      <c r="G112" s="24"/>
      <c r="H112" s="10" t="str">
        <f t="shared" si="33"/>
        <v/>
      </c>
      <c r="I112" s="10" t="str">
        <f t="shared" si="34"/>
        <v/>
      </c>
      <c r="J112" s="24"/>
      <c r="K112" s="13" t="str">
        <f t="shared" si="35"/>
        <v/>
      </c>
      <c r="L112" s="13" t="str">
        <f t="shared" si="36"/>
        <v/>
      </c>
      <c r="M112" s="25"/>
      <c r="N112" s="25"/>
      <c r="O112" s="22"/>
      <c r="P112" s="11" t="str">
        <f t="shared" si="37"/>
        <v/>
      </c>
      <c r="Q112" s="26"/>
      <c r="R112" s="22"/>
      <c r="S112" s="29" t="str">
        <f t="shared" si="38"/>
        <v/>
      </c>
      <c r="T112" s="12" t="str">
        <f t="shared" si="39"/>
        <v/>
      </c>
      <c r="U112" s="12" t="str">
        <f t="shared" si="40"/>
        <v/>
      </c>
      <c r="V112" s="12" t="str">
        <f>IF(AND($B112="",$C112=""),"",HLOOKUP(VLOOKUP($B$1,'Cidade-ER'!$A:$B,2,0),$AP$6:$BB112,ROW()-5,0))</f>
        <v/>
      </c>
      <c r="W112" s="12" t="str">
        <f t="shared" si="41"/>
        <v/>
      </c>
      <c r="X112" s="12" t="str">
        <f t="shared" si="42"/>
        <v/>
      </c>
      <c r="Y112" s="14" t="str">
        <f t="shared" si="43"/>
        <v/>
      </c>
      <c r="Z112" s="12" t="str">
        <f t="shared" si="44"/>
        <v/>
      </c>
      <c r="AA112" s="12" t="str">
        <f>IF(AND($B112="",$C112=""),"",(Sarjeta!$C$17^(5/3))*(Sarjeta!$C$16^(-2/3))*(ABS($K112)^0.5)/Sarjeta!$C$14*1000*2)</f>
        <v/>
      </c>
      <c r="AB112" s="12" t="str">
        <f>IF(AND($B112="",$C112=""),"",(Sarjeta!$C$17/Sarjeta!$C$16)^(2/3)*(ABS($K112)^0.5)/Sarjeta!$C$14)</f>
        <v/>
      </c>
      <c r="AC112" s="36" t="str">
        <f>IF(AND($B112="",$C112=""),"",IF(Z112&lt;AA112,0,MAX(ROUND(Z112/AA112,0)*2,ROUNDUP(ROUND(Z112/Sarjeta!$C$19,0)/2,0)*2)))</f>
        <v/>
      </c>
      <c r="AD112" s="26"/>
      <c r="AE112" s="27"/>
      <c r="AF112" s="32" t="str">
        <f>IF(OR($AE112="",AND($B112="",$C112="")),"",IF(ISERROR(VLOOKUP(AL112,Coeficientes!$A:$C,3,1)),0.05,VLOOKUP(AL112,Coeficientes!$A:$C,3,1)))</f>
        <v/>
      </c>
      <c r="AG112" s="12" t="str">
        <f t="shared" si="32"/>
        <v/>
      </c>
      <c r="AH112" s="30"/>
      <c r="AI112" s="31"/>
      <c r="AJ112" s="48" t="str">
        <f t="shared" si="45"/>
        <v/>
      </c>
      <c r="AK112" s="48" t="str">
        <f t="shared" si="46"/>
        <v/>
      </c>
      <c r="AL112" s="48" t="str">
        <f t="shared" si="47"/>
        <v/>
      </c>
      <c r="AM112" s="48" t="str">
        <f>IF(AND($B112="",$C112=""),"",VLOOKUP($AF112,Coeficientes!$C:$D,2,0))</f>
        <v/>
      </c>
      <c r="AN112" s="48" t="str">
        <f t="shared" si="48"/>
        <v/>
      </c>
      <c r="AO112" s="48" t="str">
        <f t="shared" si="49"/>
        <v/>
      </c>
      <c r="AP112" s="48" t="str">
        <f t="shared" si="50"/>
        <v/>
      </c>
      <c r="AQ112" s="48" t="str">
        <f t="shared" si="51"/>
        <v/>
      </c>
      <c r="AR112" s="48" t="str">
        <f t="shared" si="52"/>
        <v/>
      </c>
      <c r="AS112" s="48" t="str">
        <f t="shared" si="53"/>
        <v/>
      </c>
      <c r="AT112" s="48" t="str">
        <f t="shared" si="54"/>
        <v/>
      </c>
      <c r="AU112" s="48" t="str">
        <f t="shared" si="55"/>
        <v/>
      </c>
      <c r="AV112" s="48" t="str">
        <f t="shared" si="56"/>
        <v/>
      </c>
      <c r="AW112" s="48" t="str">
        <f t="shared" si="57"/>
        <v/>
      </c>
      <c r="AX112" s="48" t="str">
        <f t="shared" si="58"/>
        <v/>
      </c>
      <c r="AY112" s="48" t="str">
        <f t="shared" si="59"/>
        <v/>
      </c>
      <c r="AZ112" s="48" t="str">
        <f t="shared" si="60"/>
        <v/>
      </c>
      <c r="BA112" s="48" t="str">
        <f t="shared" si="61"/>
        <v/>
      </c>
      <c r="BB112" s="48" t="str">
        <f t="shared" si="62"/>
        <v/>
      </c>
    </row>
    <row r="113" spans="1:54" x14ac:dyDescent="0.2">
      <c r="A113" s="30"/>
      <c r="B113" s="23"/>
      <c r="C113" s="23"/>
      <c r="D113" s="24"/>
      <c r="E113" s="24"/>
      <c r="F113" s="24"/>
      <c r="G113" s="24"/>
      <c r="H113" s="10" t="str">
        <f t="shared" si="33"/>
        <v/>
      </c>
      <c r="I113" s="10" t="str">
        <f t="shared" si="34"/>
        <v/>
      </c>
      <c r="J113" s="24"/>
      <c r="K113" s="13" t="str">
        <f t="shared" si="35"/>
        <v/>
      </c>
      <c r="L113" s="13" t="str">
        <f t="shared" si="36"/>
        <v/>
      </c>
      <c r="M113" s="25"/>
      <c r="N113" s="25"/>
      <c r="O113" s="22"/>
      <c r="P113" s="11" t="str">
        <f t="shared" si="37"/>
        <v/>
      </c>
      <c r="Q113" s="26"/>
      <c r="R113" s="22"/>
      <c r="S113" s="29" t="str">
        <f t="shared" si="38"/>
        <v/>
      </c>
      <c r="T113" s="12" t="str">
        <f t="shared" si="39"/>
        <v/>
      </c>
      <c r="U113" s="12" t="str">
        <f t="shared" si="40"/>
        <v/>
      </c>
      <c r="V113" s="12" t="str">
        <f>IF(AND($B113="",$C113=""),"",HLOOKUP(VLOOKUP($B$1,'Cidade-ER'!$A:$B,2,0),$AP$6:$BB113,ROW()-5,0))</f>
        <v/>
      </c>
      <c r="W113" s="12" t="str">
        <f t="shared" si="41"/>
        <v/>
      </c>
      <c r="X113" s="12" t="str">
        <f t="shared" si="42"/>
        <v/>
      </c>
      <c r="Y113" s="14" t="str">
        <f t="shared" si="43"/>
        <v/>
      </c>
      <c r="Z113" s="12" t="str">
        <f t="shared" si="44"/>
        <v/>
      </c>
      <c r="AA113" s="12" t="str">
        <f>IF(AND($B113="",$C113=""),"",(Sarjeta!$C$17^(5/3))*(Sarjeta!$C$16^(-2/3))*(ABS($K113)^0.5)/Sarjeta!$C$14*1000*2)</f>
        <v/>
      </c>
      <c r="AB113" s="12" t="str">
        <f>IF(AND($B113="",$C113=""),"",(Sarjeta!$C$17/Sarjeta!$C$16)^(2/3)*(ABS($K113)^0.5)/Sarjeta!$C$14)</f>
        <v/>
      </c>
      <c r="AC113" s="36" t="str">
        <f>IF(AND($B113="",$C113=""),"",IF(Z113&lt;AA113,0,MAX(ROUND(Z113/AA113,0)*2,ROUNDUP(ROUND(Z113/Sarjeta!$C$19,0)/2,0)*2)))</f>
        <v/>
      </c>
      <c r="AD113" s="26"/>
      <c r="AE113" s="27"/>
      <c r="AF113" s="32" t="str">
        <f>IF(OR($AE113="",AND($B113="",$C113="")),"",IF(ISERROR(VLOOKUP(AL113,Coeficientes!$A:$C,3,1)),0.05,VLOOKUP(AL113,Coeficientes!$A:$C,3,1)))</f>
        <v/>
      </c>
      <c r="AG113" s="12" t="str">
        <f t="shared" si="32"/>
        <v/>
      </c>
      <c r="AH113" s="30"/>
      <c r="AI113" s="31"/>
      <c r="AJ113" s="48" t="str">
        <f t="shared" si="45"/>
        <v/>
      </c>
      <c r="AK113" s="48" t="str">
        <f t="shared" si="46"/>
        <v/>
      </c>
      <c r="AL113" s="48" t="str">
        <f t="shared" si="47"/>
        <v/>
      </c>
      <c r="AM113" s="48" t="str">
        <f>IF(AND($B113="",$C113=""),"",VLOOKUP($AF113,Coeficientes!$C:$D,2,0))</f>
        <v/>
      </c>
      <c r="AN113" s="48" t="str">
        <f t="shared" si="48"/>
        <v/>
      </c>
      <c r="AO113" s="48" t="str">
        <f t="shared" si="49"/>
        <v/>
      </c>
      <c r="AP113" s="48" t="str">
        <f t="shared" si="50"/>
        <v/>
      </c>
      <c r="AQ113" s="48" t="str">
        <f t="shared" si="51"/>
        <v/>
      </c>
      <c r="AR113" s="48" t="str">
        <f t="shared" si="52"/>
        <v/>
      </c>
      <c r="AS113" s="48" t="str">
        <f t="shared" si="53"/>
        <v/>
      </c>
      <c r="AT113" s="48" t="str">
        <f t="shared" si="54"/>
        <v/>
      </c>
      <c r="AU113" s="48" t="str">
        <f t="shared" si="55"/>
        <v/>
      </c>
      <c r="AV113" s="48" t="str">
        <f t="shared" si="56"/>
        <v/>
      </c>
      <c r="AW113" s="48" t="str">
        <f t="shared" si="57"/>
        <v/>
      </c>
      <c r="AX113" s="48" t="str">
        <f t="shared" si="58"/>
        <v/>
      </c>
      <c r="AY113" s="48" t="str">
        <f t="shared" si="59"/>
        <v/>
      </c>
      <c r="AZ113" s="48" t="str">
        <f t="shared" si="60"/>
        <v/>
      </c>
      <c r="BA113" s="48" t="str">
        <f t="shared" si="61"/>
        <v/>
      </c>
      <c r="BB113" s="48" t="str">
        <f t="shared" si="62"/>
        <v/>
      </c>
    </row>
    <row r="114" spans="1:54" x14ac:dyDescent="0.2">
      <c r="A114" s="30"/>
      <c r="B114" s="23"/>
      <c r="C114" s="23"/>
      <c r="D114" s="24"/>
      <c r="E114" s="24"/>
      <c r="F114" s="24"/>
      <c r="G114" s="24"/>
      <c r="H114" s="10" t="str">
        <f t="shared" si="33"/>
        <v/>
      </c>
      <c r="I114" s="10" t="str">
        <f t="shared" si="34"/>
        <v/>
      </c>
      <c r="J114" s="24"/>
      <c r="K114" s="13" t="str">
        <f t="shared" si="35"/>
        <v/>
      </c>
      <c r="L114" s="13" t="str">
        <f t="shared" si="36"/>
        <v/>
      </c>
      <c r="M114" s="25"/>
      <c r="N114" s="25"/>
      <c r="O114" s="22"/>
      <c r="P114" s="11" t="str">
        <f t="shared" si="37"/>
        <v/>
      </c>
      <c r="Q114" s="26"/>
      <c r="R114" s="22"/>
      <c r="S114" s="29" t="str">
        <f t="shared" si="38"/>
        <v/>
      </c>
      <c r="T114" s="12" t="str">
        <f t="shared" si="39"/>
        <v/>
      </c>
      <c r="U114" s="12" t="str">
        <f t="shared" si="40"/>
        <v/>
      </c>
      <c r="V114" s="12" t="str">
        <f>IF(AND($B114="",$C114=""),"",HLOOKUP(VLOOKUP($B$1,'Cidade-ER'!$A:$B,2,0),$AP$6:$BB114,ROW()-5,0))</f>
        <v/>
      </c>
      <c r="W114" s="12" t="str">
        <f t="shared" si="41"/>
        <v/>
      </c>
      <c r="X114" s="12" t="str">
        <f t="shared" si="42"/>
        <v/>
      </c>
      <c r="Y114" s="14" t="str">
        <f t="shared" si="43"/>
        <v/>
      </c>
      <c r="Z114" s="12" t="str">
        <f t="shared" si="44"/>
        <v/>
      </c>
      <c r="AA114" s="12" t="str">
        <f>IF(AND($B114="",$C114=""),"",(Sarjeta!$C$17^(5/3))*(Sarjeta!$C$16^(-2/3))*(ABS($K114)^0.5)/Sarjeta!$C$14*1000*2)</f>
        <v/>
      </c>
      <c r="AB114" s="12" t="str">
        <f>IF(AND($B114="",$C114=""),"",(Sarjeta!$C$17/Sarjeta!$C$16)^(2/3)*(ABS($K114)^0.5)/Sarjeta!$C$14)</f>
        <v/>
      </c>
      <c r="AC114" s="36" t="str">
        <f>IF(AND($B114="",$C114=""),"",IF(Z114&lt;AA114,0,MAX(ROUND(Z114/AA114,0)*2,ROUNDUP(ROUND(Z114/Sarjeta!$C$19,0)/2,0)*2)))</f>
        <v/>
      </c>
      <c r="AD114" s="26"/>
      <c r="AE114" s="27"/>
      <c r="AF114" s="32" t="str">
        <f>IF(OR($AE114="",AND($B114="",$C114="")),"",IF(ISERROR(VLOOKUP(AL114,Coeficientes!$A:$C,3,1)),0.05,VLOOKUP(AL114,Coeficientes!$A:$C,3,1)))</f>
        <v/>
      </c>
      <c r="AG114" s="12" t="str">
        <f t="shared" si="32"/>
        <v/>
      </c>
      <c r="AH114" s="30"/>
      <c r="AI114" s="31"/>
      <c r="AJ114" s="48" t="str">
        <f t="shared" si="45"/>
        <v/>
      </c>
      <c r="AK114" s="48" t="str">
        <f t="shared" si="46"/>
        <v/>
      </c>
      <c r="AL114" s="48" t="str">
        <f t="shared" si="47"/>
        <v/>
      </c>
      <c r="AM114" s="48" t="str">
        <f>IF(AND($B114="",$C114=""),"",VLOOKUP($AF114,Coeficientes!$C:$D,2,0))</f>
        <v/>
      </c>
      <c r="AN114" s="48" t="str">
        <f t="shared" si="48"/>
        <v/>
      </c>
      <c r="AO114" s="48" t="str">
        <f t="shared" si="49"/>
        <v/>
      </c>
      <c r="AP114" s="48" t="str">
        <f t="shared" si="50"/>
        <v/>
      </c>
      <c r="AQ114" s="48" t="str">
        <f t="shared" si="51"/>
        <v/>
      </c>
      <c r="AR114" s="48" t="str">
        <f t="shared" si="52"/>
        <v/>
      </c>
      <c r="AS114" s="48" t="str">
        <f t="shared" si="53"/>
        <v/>
      </c>
      <c r="AT114" s="48" t="str">
        <f t="shared" si="54"/>
        <v/>
      </c>
      <c r="AU114" s="48" t="str">
        <f t="shared" si="55"/>
        <v/>
      </c>
      <c r="AV114" s="48" t="str">
        <f t="shared" si="56"/>
        <v/>
      </c>
      <c r="AW114" s="48" t="str">
        <f t="shared" si="57"/>
        <v/>
      </c>
      <c r="AX114" s="48" t="str">
        <f t="shared" si="58"/>
        <v/>
      </c>
      <c r="AY114" s="48" t="str">
        <f t="shared" si="59"/>
        <v/>
      </c>
      <c r="AZ114" s="48" t="str">
        <f t="shared" si="60"/>
        <v/>
      </c>
      <c r="BA114" s="48" t="str">
        <f t="shared" si="61"/>
        <v/>
      </c>
      <c r="BB114" s="48" t="str">
        <f t="shared" si="62"/>
        <v/>
      </c>
    </row>
    <row r="115" spans="1:54" x14ac:dyDescent="0.2">
      <c r="A115" s="30"/>
      <c r="B115" s="23"/>
      <c r="C115" s="23"/>
      <c r="D115" s="24"/>
      <c r="E115" s="24"/>
      <c r="F115" s="24"/>
      <c r="G115" s="24"/>
      <c r="H115" s="10" t="str">
        <f t="shared" si="33"/>
        <v/>
      </c>
      <c r="I115" s="10" t="str">
        <f t="shared" si="34"/>
        <v/>
      </c>
      <c r="J115" s="24"/>
      <c r="K115" s="13" t="str">
        <f t="shared" si="35"/>
        <v/>
      </c>
      <c r="L115" s="13" t="str">
        <f t="shared" si="36"/>
        <v/>
      </c>
      <c r="M115" s="25"/>
      <c r="N115" s="25"/>
      <c r="O115" s="22"/>
      <c r="P115" s="11" t="str">
        <f t="shared" si="37"/>
        <v/>
      </c>
      <c r="Q115" s="26"/>
      <c r="R115" s="22"/>
      <c r="S115" s="29" t="str">
        <f t="shared" si="38"/>
        <v/>
      </c>
      <c r="T115" s="12" t="str">
        <f t="shared" si="39"/>
        <v/>
      </c>
      <c r="U115" s="12" t="str">
        <f t="shared" si="40"/>
        <v/>
      </c>
      <c r="V115" s="12" t="str">
        <f>IF(AND($B115="",$C115=""),"",HLOOKUP(VLOOKUP($B$1,'Cidade-ER'!$A:$B,2,0),$AP$6:$BB115,ROW()-5,0))</f>
        <v/>
      </c>
      <c r="W115" s="12" t="str">
        <f t="shared" si="41"/>
        <v/>
      </c>
      <c r="X115" s="12" t="str">
        <f t="shared" si="42"/>
        <v/>
      </c>
      <c r="Y115" s="14" t="str">
        <f t="shared" si="43"/>
        <v/>
      </c>
      <c r="Z115" s="12" t="str">
        <f t="shared" si="44"/>
        <v/>
      </c>
      <c r="AA115" s="12" t="str">
        <f>IF(AND($B115="",$C115=""),"",(Sarjeta!$C$17^(5/3))*(Sarjeta!$C$16^(-2/3))*(ABS($K115)^0.5)/Sarjeta!$C$14*1000*2)</f>
        <v/>
      </c>
      <c r="AB115" s="12" t="str">
        <f>IF(AND($B115="",$C115=""),"",(Sarjeta!$C$17/Sarjeta!$C$16)^(2/3)*(ABS($K115)^0.5)/Sarjeta!$C$14)</f>
        <v/>
      </c>
      <c r="AC115" s="36" t="str">
        <f>IF(AND($B115="",$C115=""),"",IF(Z115&lt;AA115,0,MAX(ROUND(Z115/AA115,0)*2,ROUNDUP(ROUND(Z115/Sarjeta!$C$19,0)/2,0)*2)))</f>
        <v/>
      </c>
      <c r="AD115" s="26"/>
      <c r="AE115" s="27"/>
      <c r="AF115" s="32" t="str">
        <f>IF(OR($AE115="",AND($B115="",$C115="")),"",IF(ISERROR(VLOOKUP(AL115,Coeficientes!$A:$C,3,1)),0.05,VLOOKUP(AL115,Coeficientes!$A:$C,3,1)))</f>
        <v/>
      </c>
      <c r="AG115" s="12" t="str">
        <f t="shared" si="32"/>
        <v/>
      </c>
      <c r="AH115" s="30"/>
      <c r="AI115" s="31"/>
      <c r="AJ115" s="48" t="str">
        <f t="shared" si="45"/>
        <v/>
      </c>
      <c r="AK115" s="48" t="str">
        <f t="shared" si="46"/>
        <v/>
      </c>
      <c r="AL115" s="48" t="str">
        <f t="shared" si="47"/>
        <v/>
      </c>
      <c r="AM115" s="48" t="str">
        <f>IF(AND($B115="",$C115=""),"",VLOOKUP($AF115,Coeficientes!$C:$D,2,0))</f>
        <v/>
      </c>
      <c r="AN115" s="48" t="str">
        <f t="shared" si="48"/>
        <v/>
      </c>
      <c r="AO115" s="48" t="str">
        <f t="shared" si="49"/>
        <v/>
      </c>
      <c r="AP115" s="48" t="str">
        <f t="shared" si="50"/>
        <v/>
      </c>
      <c r="AQ115" s="48" t="str">
        <f t="shared" si="51"/>
        <v/>
      </c>
      <c r="AR115" s="48" t="str">
        <f t="shared" si="52"/>
        <v/>
      </c>
      <c r="AS115" s="48" t="str">
        <f t="shared" si="53"/>
        <v/>
      </c>
      <c r="AT115" s="48" t="str">
        <f t="shared" si="54"/>
        <v/>
      </c>
      <c r="AU115" s="48" t="str">
        <f t="shared" si="55"/>
        <v/>
      </c>
      <c r="AV115" s="48" t="str">
        <f t="shared" si="56"/>
        <v/>
      </c>
      <c r="AW115" s="48" t="str">
        <f t="shared" si="57"/>
        <v/>
      </c>
      <c r="AX115" s="48" t="str">
        <f t="shared" si="58"/>
        <v/>
      </c>
      <c r="AY115" s="48" t="str">
        <f t="shared" si="59"/>
        <v/>
      </c>
      <c r="AZ115" s="48" t="str">
        <f t="shared" si="60"/>
        <v/>
      </c>
      <c r="BA115" s="48" t="str">
        <f t="shared" si="61"/>
        <v/>
      </c>
      <c r="BB115" s="48" t="str">
        <f t="shared" si="62"/>
        <v/>
      </c>
    </row>
    <row r="116" spans="1:54" x14ac:dyDescent="0.2">
      <c r="A116" s="30"/>
      <c r="B116" s="23"/>
      <c r="C116" s="23"/>
      <c r="D116" s="24"/>
      <c r="E116" s="24"/>
      <c r="F116" s="24"/>
      <c r="G116" s="24"/>
      <c r="H116" s="10" t="str">
        <f t="shared" si="33"/>
        <v/>
      </c>
      <c r="I116" s="10" t="str">
        <f t="shared" si="34"/>
        <v/>
      </c>
      <c r="J116" s="24"/>
      <c r="K116" s="13" t="str">
        <f t="shared" si="35"/>
        <v/>
      </c>
      <c r="L116" s="13" t="str">
        <f t="shared" si="36"/>
        <v/>
      </c>
      <c r="M116" s="25"/>
      <c r="N116" s="25"/>
      <c r="O116" s="22"/>
      <c r="P116" s="11" t="str">
        <f t="shared" si="37"/>
        <v/>
      </c>
      <c r="Q116" s="26"/>
      <c r="R116" s="22"/>
      <c r="S116" s="29" t="str">
        <f t="shared" si="38"/>
        <v/>
      </c>
      <c r="T116" s="12" t="str">
        <f t="shared" si="39"/>
        <v/>
      </c>
      <c r="U116" s="12" t="str">
        <f t="shared" si="40"/>
        <v/>
      </c>
      <c r="V116" s="12" t="str">
        <f>IF(AND($B116="",$C116=""),"",HLOOKUP(VLOOKUP($B$1,'Cidade-ER'!$A:$B,2,0),$AP$6:$BB116,ROW()-5,0))</f>
        <v/>
      </c>
      <c r="W116" s="12" t="str">
        <f t="shared" si="41"/>
        <v/>
      </c>
      <c r="X116" s="12" t="str">
        <f t="shared" si="42"/>
        <v/>
      </c>
      <c r="Y116" s="14" t="str">
        <f t="shared" si="43"/>
        <v/>
      </c>
      <c r="Z116" s="12" t="str">
        <f t="shared" si="44"/>
        <v/>
      </c>
      <c r="AA116" s="12" t="str">
        <f>IF(AND($B116="",$C116=""),"",(Sarjeta!$C$17^(5/3))*(Sarjeta!$C$16^(-2/3))*(ABS($K116)^0.5)/Sarjeta!$C$14*1000*2)</f>
        <v/>
      </c>
      <c r="AB116" s="12" t="str">
        <f>IF(AND($B116="",$C116=""),"",(Sarjeta!$C$17/Sarjeta!$C$16)^(2/3)*(ABS($K116)^0.5)/Sarjeta!$C$14)</f>
        <v/>
      </c>
      <c r="AC116" s="36" t="str">
        <f>IF(AND($B116="",$C116=""),"",IF(Z116&lt;AA116,0,MAX(ROUND(Z116/AA116,0)*2,ROUNDUP(ROUND(Z116/Sarjeta!$C$19,0)/2,0)*2)))</f>
        <v/>
      </c>
      <c r="AD116" s="26"/>
      <c r="AE116" s="27"/>
      <c r="AF116" s="32" t="str">
        <f>IF(OR($AE116="",AND($B116="",$C116="")),"",IF(ISERROR(VLOOKUP(AL116,Coeficientes!$A:$C,3,1)),0.05,VLOOKUP(AL116,Coeficientes!$A:$C,3,1)))</f>
        <v/>
      </c>
      <c r="AG116" s="12" t="str">
        <f t="shared" si="32"/>
        <v/>
      </c>
      <c r="AH116" s="30"/>
      <c r="AI116" s="31"/>
      <c r="AJ116" s="48" t="str">
        <f t="shared" si="45"/>
        <v/>
      </c>
      <c r="AK116" s="48" t="str">
        <f t="shared" si="46"/>
        <v/>
      </c>
      <c r="AL116" s="48" t="str">
        <f t="shared" si="47"/>
        <v/>
      </c>
      <c r="AM116" s="48" t="str">
        <f>IF(AND($B116="",$C116=""),"",VLOOKUP($AF116,Coeficientes!$C:$D,2,0))</f>
        <v/>
      </c>
      <c r="AN116" s="48" t="str">
        <f t="shared" si="48"/>
        <v/>
      </c>
      <c r="AO116" s="48" t="str">
        <f t="shared" si="49"/>
        <v/>
      </c>
      <c r="AP116" s="48" t="str">
        <f t="shared" si="50"/>
        <v/>
      </c>
      <c r="AQ116" s="48" t="str">
        <f t="shared" si="51"/>
        <v/>
      </c>
      <c r="AR116" s="48" t="str">
        <f t="shared" si="52"/>
        <v/>
      </c>
      <c r="AS116" s="48" t="str">
        <f t="shared" si="53"/>
        <v/>
      </c>
      <c r="AT116" s="48" t="str">
        <f t="shared" si="54"/>
        <v/>
      </c>
      <c r="AU116" s="48" t="str">
        <f t="shared" si="55"/>
        <v/>
      </c>
      <c r="AV116" s="48" t="str">
        <f t="shared" si="56"/>
        <v/>
      </c>
      <c r="AW116" s="48" t="str">
        <f t="shared" si="57"/>
        <v/>
      </c>
      <c r="AX116" s="48" t="str">
        <f t="shared" si="58"/>
        <v/>
      </c>
      <c r="AY116" s="48" t="str">
        <f t="shared" si="59"/>
        <v/>
      </c>
      <c r="AZ116" s="48" t="str">
        <f t="shared" si="60"/>
        <v/>
      </c>
      <c r="BA116" s="48" t="str">
        <f t="shared" si="61"/>
        <v/>
      </c>
      <c r="BB116" s="48" t="str">
        <f t="shared" si="62"/>
        <v/>
      </c>
    </row>
    <row r="117" spans="1:54" x14ac:dyDescent="0.2">
      <c r="A117" s="30"/>
      <c r="B117" s="23"/>
      <c r="C117" s="23"/>
      <c r="D117" s="24"/>
      <c r="E117" s="24"/>
      <c r="F117" s="24"/>
      <c r="G117" s="24"/>
      <c r="H117" s="10" t="str">
        <f t="shared" si="33"/>
        <v/>
      </c>
      <c r="I117" s="10" t="str">
        <f t="shared" si="34"/>
        <v/>
      </c>
      <c r="J117" s="24"/>
      <c r="K117" s="13" t="str">
        <f t="shared" si="35"/>
        <v/>
      </c>
      <c r="L117" s="13" t="str">
        <f t="shared" si="36"/>
        <v/>
      </c>
      <c r="M117" s="25"/>
      <c r="N117" s="25"/>
      <c r="O117" s="22"/>
      <c r="P117" s="11" t="str">
        <f t="shared" si="37"/>
        <v/>
      </c>
      <c r="Q117" s="26"/>
      <c r="R117" s="22"/>
      <c r="S117" s="29" t="str">
        <f t="shared" si="38"/>
        <v/>
      </c>
      <c r="T117" s="12" t="str">
        <f t="shared" si="39"/>
        <v/>
      </c>
      <c r="U117" s="12" t="str">
        <f t="shared" si="40"/>
        <v/>
      </c>
      <c r="V117" s="12" t="str">
        <f>IF(AND($B117="",$C117=""),"",HLOOKUP(VLOOKUP($B$1,'Cidade-ER'!$A:$B,2,0),$AP$6:$BB117,ROW()-5,0))</f>
        <v/>
      </c>
      <c r="W117" s="12" t="str">
        <f t="shared" si="41"/>
        <v/>
      </c>
      <c r="X117" s="12" t="str">
        <f t="shared" si="42"/>
        <v/>
      </c>
      <c r="Y117" s="14" t="str">
        <f t="shared" si="43"/>
        <v/>
      </c>
      <c r="Z117" s="12" t="str">
        <f t="shared" si="44"/>
        <v/>
      </c>
      <c r="AA117" s="12" t="str">
        <f>IF(AND($B117="",$C117=""),"",(Sarjeta!$C$17^(5/3))*(Sarjeta!$C$16^(-2/3))*(ABS($K117)^0.5)/Sarjeta!$C$14*1000*2)</f>
        <v/>
      </c>
      <c r="AB117" s="12" t="str">
        <f>IF(AND($B117="",$C117=""),"",(Sarjeta!$C$17/Sarjeta!$C$16)^(2/3)*(ABS($K117)^0.5)/Sarjeta!$C$14)</f>
        <v/>
      </c>
      <c r="AC117" s="36" t="str">
        <f>IF(AND($B117="",$C117=""),"",IF(Z117&lt;AA117,0,MAX(ROUND(Z117/AA117,0)*2,ROUNDUP(ROUND(Z117/Sarjeta!$C$19,0)/2,0)*2)))</f>
        <v/>
      </c>
      <c r="AD117" s="26"/>
      <c r="AE117" s="27"/>
      <c r="AF117" s="32" t="str">
        <f>IF(OR($AE117="",AND($B117="",$C117="")),"",IF(ISERROR(VLOOKUP(AL117,Coeficientes!$A:$C,3,1)),0.05,VLOOKUP(AL117,Coeficientes!$A:$C,3,1)))</f>
        <v/>
      </c>
      <c r="AG117" s="12" t="str">
        <f t="shared" si="32"/>
        <v/>
      </c>
      <c r="AH117" s="30"/>
      <c r="AI117" s="31"/>
      <c r="AJ117" s="48" t="str">
        <f t="shared" si="45"/>
        <v/>
      </c>
      <c r="AK117" s="48" t="str">
        <f t="shared" si="46"/>
        <v/>
      </c>
      <c r="AL117" s="48" t="str">
        <f t="shared" si="47"/>
        <v/>
      </c>
      <c r="AM117" s="48" t="str">
        <f>IF(AND($B117="",$C117=""),"",VLOOKUP($AF117,Coeficientes!$C:$D,2,0))</f>
        <v/>
      </c>
      <c r="AN117" s="48" t="str">
        <f t="shared" si="48"/>
        <v/>
      </c>
      <c r="AO117" s="48" t="str">
        <f t="shared" si="49"/>
        <v/>
      </c>
      <c r="AP117" s="48" t="str">
        <f t="shared" si="50"/>
        <v/>
      </c>
      <c r="AQ117" s="48" t="str">
        <f t="shared" si="51"/>
        <v/>
      </c>
      <c r="AR117" s="48" t="str">
        <f t="shared" si="52"/>
        <v/>
      </c>
      <c r="AS117" s="48" t="str">
        <f t="shared" si="53"/>
        <v/>
      </c>
      <c r="AT117" s="48" t="str">
        <f t="shared" si="54"/>
        <v/>
      </c>
      <c r="AU117" s="48" t="str">
        <f t="shared" si="55"/>
        <v/>
      </c>
      <c r="AV117" s="48" t="str">
        <f t="shared" si="56"/>
        <v/>
      </c>
      <c r="AW117" s="48" t="str">
        <f t="shared" si="57"/>
        <v/>
      </c>
      <c r="AX117" s="48" t="str">
        <f t="shared" si="58"/>
        <v/>
      </c>
      <c r="AY117" s="48" t="str">
        <f t="shared" si="59"/>
        <v/>
      </c>
      <c r="AZ117" s="48" t="str">
        <f t="shared" si="60"/>
        <v/>
      </c>
      <c r="BA117" s="48" t="str">
        <f t="shared" si="61"/>
        <v/>
      </c>
      <c r="BB117" s="48" t="str">
        <f t="shared" si="62"/>
        <v/>
      </c>
    </row>
    <row r="118" spans="1:54" x14ac:dyDescent="0.2">
      <c r="A118" s="30"/>
      <c r="B118" s="23"/>
      <c r="C118" s="23"/>
      <c r="D118" s="24"/>
      <c r="E118" s="24"/>
      <c r="F118" s="24"/>
      <c r="G118" s="24"/>
      <c r="H118" s="10" t="str">
        <f t="shared" si="33"/>
        <v/>
      </c>
      <c r="I118" s="10" t="str">
        <f t="shared" si="34"/>
        <v/>
      </c>
      <c r="J118" s="24"/>
      <c r="K118" s="13" t="str">
        <f t="shared" si="35"/>
        <v/>
      </c>
      <c r="L118" s="13" t="str">
        <f t="shared" si="36"/>
        <v/>
      </c>
      <c r="M118" s="25"/>
      <c r="N118" s="25"/>
      <c r="O118" s="22"/>
      <c r="P118" s="11" t="str">
        <f t="shared" si="37"/>
        <v/>
      </c>
      <c r="Q118" s="26"/>
      <c r="R118" s="22"/>
      <c r="S118" s="29" t="str">
        <f t="shared" si="38"/>
        <v/>
      </c>
      <c r="T118" s="12" t="str">
        <f t="shared" si="39"/>
        <v/>
      </c>
      <c r="U118" s="12" t="str">
        <f t="shared" si="40"/>
        <v/>
      </c>
      <c r="V118" s="12" t="str">
        <f>IF(AND($B118="",$C118=""),"",HLOOKUP(VLOOKUP($B$1,'Cidade-ER'!$A:$B,2,0),$AP$6:$BB118,ROW()-5,0))</f>
        <v/>
      </c>
      <c r="W118" s="12" t="str">
        <f t="shared" si="41"/>
        <v/>
      </c>
      <c r="X118" s="12" t="str">
        <f t="shared" si="42"/>
        <v/>
      </c>
      <c r="Y118" s="14" t="str">
        <f t="shared" si="43"/>
        <v/>
      </c>
      <c r="Z118" s="12" t="str">
        <f t="shared" si="44"/>
        <v/>
      </c>
      <c r="AA118" s="12" t="str">
        <f>IF(AND($B118="",$C118=""),"",(Sarjeta!$C$17^(5/3))*(Sarjeta!$C$16^(-2/3))*(ABS($K118)^0.5)/Sarjeta!$C$14*1000*2)</f>
        <v/>
      </c>
      <c r="AB118" s="12" t="str">
        <f>IF(AND($B118="",$C118=""),"",(Sarjeta!$C$17/Sarjeta!$C$16)^(2/3)*(ABS($K118)^0.5)/Sarjeta!$C$14)</f>
        <v/>
      </c>
      <c r="AC118" s="36" t="str">
        <f>IF(AND($B118="",$C118=""),"",IF(Z118&lt;AA118,0,MAX(ROUND(Z118/AA118,0)*2,ROUNDUP(ROUND(Z118/Sarjeta!$C$19,0)/2,0)*2)))</f>
        <v/>
      </c>
      <c r="AD118" s="26"/>
      <c r="AE118" s="27"/>
      <c r="AF118" s="32" t="str">
        <f>IF(OR($AE118="",AND($B118="",$C118="")),"",IF(ISERROR(VLOOKUP(AL118,Coeficientes!$A:$C,3,1)),0.05,VLOOKUP(AL118,Coeficientes!$A:$C,3,1)))</f>
        <v/>
      </c>
      <c r="AG118" s="12" t="str">
        <f t="shared" si="32"/>
        <v/>
      </c>
      <c r="AH118" s="30"/>
      <c r="AI118" s="31"/>
      <c r="AJ118" s="48" t="str">
        <f t="shared" si="45"/>
        <v/>
      </c>
      <c r="AK118" s="48" t="str">
        <f t="shared" si="46"/>
        <v/>
      </c>
      <c r="AL118" s="48" t="str">
        <f t="shared" si="47"/>
        <v/>
      </c>
      <c r="AM118" s="48" t="str">
        <f>IF(AND($B118="",$C118=""),"",VLOOKUP($AF118,Coeficientes!$C:$D,2,0))</f>
        <v/>
      </c>
      <c r="AN118" s="48" t="str">
        <f t="shared" si="48"/>
        <v/>
      </c>
      <c r="AO118" s="48" t="str">
        <f t="shared" si="49"/>
        <v/>
      </c>
      <c r="AP118" s="48" t="str">
        <f t="shared" si="50"/>
        <v/>
      </c>
      <c r="AQ118" s="48" t="str">
        <f t="shared" si="51"/>
        <v/>
      </c>
      <c r="AR118" s="48" t="str">
        <f t="shared" si="52"/>
        <v/>
      </c>
      <c r="AS118" s="48" t="str">
        <f t="shared" si="53"/>
        <v/>
      </c>
      <c r="AT118" s="48" t="str">
        <f t="shared" si="54"/>
        <v/>
      </c>
      <c r="AU118" s="48" t="str">
        <f t="shared" si="55"/>
        <v/>
      </c>
      <c r="AV118" s="48" t="str">
        <f t="shared" si="56"/>
        <v/>
      </c>
      <c r="AW118" s="48" t="str">
        <f t="shared" si="57"/>
        <v/>
      </c>
      <c r="AX118" s="48" t="str">
        <f t="shared" si="58"/>
        <v/>
      </c>
      <c r="AY118" s="48" t="str">
        <f t="shared" si="59"/>
        <v/>
      </c>
      <c r="AZ118" s="48" t="str">
        <f t="shared" si="60"/>
        <v/>
      </c>
      <c r="BA118" s="48" t="str">
        <f t="shared" si="61"/>
        <v/>
      </c>
      <c r="BB118" s="48" t="str">
        <f t="shared" si="62"/>
        <v/>
      </c>
    </row>
    <row r="119" spans="1:54" x14ac:dyDescent="0.2">
      <c r="A119" s="30"/>
      <c r="B119" s="23"/>
      <c r="C119" s="23"/>
      <c r="D119" s="24"/>
      <c r="E119" s="24"/>
      <c r="F119" s="24"/>
      <c r="G119" s="24"/>
      <c r="H119" s="10" t="str">
        <f t="shared" si="33"/>
        <v/>
      </c>
      <c r="I119" s="10" t="str">
        <f t="shared" si="34"/>
        <v/>
      </c>
      <c r="J119" s="24"/>
      <c r="K119" s="13" t="str">
        <f t="shared" si="35"/>
        <v/>
      </c>
      <c r="L119" s="13" t="str">
        <f t="shared" si="36"/>
        <v/>
      </c>
      <c r="M119" s="25"/>
      <c r="N119" s="25"/>
      <c r="O119" s="22"/>
      <c r="P119" s="11" t="str">
        <f t="shared" si="37"/>
        <v/>
      </c>
      <c r="Q119" s="26"/>
      <c r="R119" s="22"/>
      <c r="S119" s="29" t="str">
        <f t="shared" si="38"/>
        <v/>
      </c>
      <c r="T119" s="12" t="str">
        <f t="shared" si="39"/>
        <v/>
      </c>
      <c r="U119" s="12" t="str">
        <f t="shared" si="40"/>
        <v/>
      </c>
      <c r="V119" s="12" t="str">
        <f>IF(AND($B119="",$C119=""),"",HLOOKUP(VLOOKUP($B$1,'Cidade-ER'!$A:$B,2,0),$AP$6:$BB119,ROW()-5,0))</f>
        <v/>
      </c>
      <c r="W119" s="12" t="str">
        <f t="shared" si="41"/>
        <v/>
      </c>
      <c r="X119" s="12" t="str">
        <f t="shared" si="42"/>
        <v/>
      </c>
      <c r="Y119" s="14" t="str">
        <f t="shared" si="43"/>
        <v/>
      </c>
      <c r="Z119" s="12" t="str">
        <f t="shared" si="44"/>
        <v/>
      </c>
      <c r="AA119" s="12" t="str">
        <f>IF(AND($B119="",$C119=""),"",(Sarjeta!$C$17^(5/3))*(Sarjeta!$C$16^(-2/3))*(ABS($K119)^0.5)/Sarjeta!$C$14*1000*2)</f>
        <v/>
      </c>
      <c r="AB119" s="12" t="str">
        <f>IF(AND($B119="",$C119=""),"",(Sarjeta!$C$17/Sarjeta!$C$16)^(2/3)*(ABS($K119)^0.5)/Sarjeta!$C$14)</f>
        <v/>
      </c>
      <c r="AC119" s="36" t="str">
        <f>IF(AND($B119="",$C119=""),"",IF(Z119&lt;AA119,0,MAX(ROUND(Z119/AA119,0)*2,ROUNDUP(ROUND(Z119/Sarjeta!$C$19,0)/2,0)*2)))</f>
        <v/>
      </c>
      <c r="AD119" s="26"/>
      <c r="AE119" s="27"/>
      <c r="AF119" s="32" t="str">
        <f>IF(OR($AE119="",AND($B119="",$C119="")),"",IF(ISERROR(VLOOKUP(AL119,Coeficientes!$A:$C,3,1)),0.05,VLOOKUP(AL119,Coeficientes!$A:$C,3,1)))</f>
        <v/>
      </c>
      <c r="AG119" s="12" t="str">
        <f t="shared" si="32"/>
        <v/>
      </c>
      <c r="AH119" s="30"/>
      <c r="AI119" s="31"/>
      <c r="AJ119" s="48" t="str">
        <f t="shared" si="45"/>
        <v/>
      </c>
      <c r="AK119" s="48" t="str">
        <f t="shared" si="46"/>
        <v/>
      </c>
      <c r="AL119" s="48" t="str">
        <f t="shared" si="47"/>
        <v/>
      </c>
      <c r="AM119" s="48" t="str">
        <f>IF(AND($B119="",$C119=""),"",VLOOKUP($AF119,Coeficientes!$C:$D,2,0))</f>
        <v/>
      </c>
      <c r="AN119" s="48" t="str">
        <f t="shared" si="48"/>
        <v/>
      </c>
      <c r="AO119" s="48" t="str">
        <f t="shared" si="49"/>
        <v/>
      </c>
      <c r="AP119" s="48" t="str">
        <f t="shared" si="50"/>
        <v/>
      </c>
      <c r="AQ119" s="48" t="str">
        <f t="shared" si="51"/>
        <v/>
      </c>
      <c r="AR119" s="48" t="str">
        <f t="shared" si="52"/>
        <v/>
      </c>
      <c r="AS119" s="48" t="str">
        <f t="shared" si="53"/>
        <v/>
      </c>
      <c r="AT119" s="48" t="str">
        <f t="shared" si="54"/>
        <v/>
      </c>
      <c r="AU119" s="48" t="str">
        <f t="shared" si="55"/>
        <v/>
      </c>
      <c r="AV119" s="48" t="str">
        <f t="shared" si="56"/>
        <v/>
      </c>
      <c r="AW119" s="48" t="str">
        <f t="shared" si="57"/>
        <v/>
      </c>
      <c r="AX119" s="48" t="str">
        <f t="shared" si="58"/>
        <v/>
      </c>
      <c r="AY119" s="48" t="str">
        <f t="shared" si="59"/>
        <v/>
      </c>
      <c r="AZ119" s="48" t="str">
        <f t="shared" si="60"/>
        <v/>
      </c>
      <c r="BA119" s="48" t="str">
        <f t="shared" si="61"/>
        <v/>
      </c>
      <c r="BB119" s="48" t="str">
        <f t="shared" si="62"/>
        <v/>
      </c>
    </row>
    <row r="120" spans="1:54" x14ac:dyDescent="0.2">
      <c r="A120" s="30"/>
      <c r="B120" s="23"/>
      <c r="C120" s="23"/>
      <c r="D120" s="24"/>
      <c r="E120" s="24"/>
      <c r="F120" s="24"/>
      <c r="G120" s="24"/>
      <c r="H120" s="10" t="str">
        <f t="shared" si="33"/>
        <v/>
      </c>
      <c r="I120" s="10" t="str">
        <f t="shared" si="34"/>
        <v/>
      </c>
      <c r="J120" s="24"/>
      <c r="K120" s="13" t="str">
        <f t="shared" si="35"/>
        <v/>
      </c>
      <c r="L120" s="13" t="str">
        <f t="shared" si="36"/>
        <v/>
      </c>
      <c r="M120" s="25"/>
      <c r="N120" s="25"/>
      <c r="O120" s="22"/>
      <c r="P120" s="11" t="str">
        <f t="shared" si="37"/>
        <v/>
      </c>
      <c r="Q120" s="26"/>
      <c r="R120" s="22"/>
      <c r="S120" s="29" t="str">
        <f t="shared" si="38"/>
        <v/>
      </c>
      <c r="T120" s="12" t="str">
        <f t="shared" si="39"/>
        <v/>
      </c>
      <c r="U120" s="12" t="str">
        <f t="shared" si="40"/>
        <v/>
      </c>
      <c r="V120" s="12" t="str">
        <f>IF(AND($B120="",$C120=""),"",HLOOKUP(VLOOKUP($B$1,'Cidade-ER'!$A:$B,2,0),$AP$6:$BB120,ROW()-5,0))</f>
        <v/>
      </c>
      <c r="W120" s="12" t="str">
        <f t="shared" si="41"/>
        <v/>
      </c>
      <c r="X120" s="12" t="str">
        <f t="shared" si="42"/>
        <v/>
      </c>
      <c r="Y120" s="14" t="str">
        <f t="shared" si="43"/>
        <v/>
      </c>
      <c r="Z120" s="12" t="str">
        <f t="shared" si="44"/>
        <v/>
      </c>
      <c r="AA120" s="12" t="str">
        <f>IF(AND($B120="",$C120=""),"",(Sarjeta!$C$17^(5/3))*(Sarjeta!$C$16^(-2/3))*(ABS($K120)^0.5)/Sarjeta!$C$14*1000*2)</f>
        <v/>
      </c>
      <c r="AB120" s="12" t="str">
        <f>IF(AND($B120="",$C120=""),"",(Sarjeta!$C$17/Sarjeta!$C$16)^(2/3)*(ABS($K120)^0.5)/Sarjeta!$C$14)</f>
        <v/>
      </c>
      <c r="AC120" s="36" t="str">
        <f>IF(AND($B120="",$C120=""),"",IF(Z120&lt;AA120,0,MAX(ROUND(Z120/AA120,0)*2,ROUNDUP(ROUND(Z120/Sarjeta!$C$19,0)/2,0)*2)))</f>
        <v/>
      </c>
      <c r="AD120" s="26"/>
      <c r="AE120" s="27"/>
      <c r="AF120" s="32" t="str">
        <f>IF(OR($AE120="",AND($B120="",$C120="")),"",IF(ISERROR(VLOOKUP(AL120,Coeficientes!$A:$C,3,1)),0.05,VLOOKUP(AL120,Coeficientes!$A:$C,3,1)))</f>
        <v/>
      </c>
      <c r="AG120" s="12" t="str">
        <f t="shared" si="32"/>
        <v/>
      </c>
      <c r="AH120" s="30"/>
      <c r="AI120" s="31"/>
      <c r="AJ120" s="48" t="str">
        <f t="shared" si="45"/>
        <v/>
      </c>
      <c r="AK120" s="48" t="str">
        <f t="shared" si="46"/>
        <v/>
      </c>
      <c r="AL120" s="48" t="str">
        <f t="shared" si="47"/>
        <v/>
      </c>
      <c r="AM120" s="48" t="str">
        <f>IF(AND($B120="",$C120=""),"",VLOOKUP($AF120,Coeficientes!$C:$D,2,0))</f>
        <v/>
      </c>
      <c r="AN120" s="48" t="str">
        <f t="shared" si="48"/>
        <v/>
      </c>
      <c r="AO120" s="48" t="str">
        <f t="shared" si="49"/>
        <v/>
      </c>
      <c r="AP120" s="48" t="str">
        <f t="shared" si="50"/>
        <v/>
      </c>
      <c r="AQ120" s="48" t="str">
        <f t="shared" si="51"/>
        <v/>
      </c>
      <c r="AR120" s="48" t="str">
        <f t="shared" si="52"/>
        <v/>
      </c>
      <c r="AS120" s="48" t="str">
        <f t="shared" si="53"/>
        <v/>
      </c>
      <c r="AT120" s="48" t="str">
        <f t="shared" si="54"/>
        <v/>
      </c>
      <c r="AU120" s="48" t="str">
        <f t="shared" si="55"/>
        <v/>
      </c>
      <c r="AV120" s="48" t="str">
        <f t="shared" si="56"/>
        <v/>
      </c>
      <c r="AW120" s="48" t="str">
        <f t="shared" si="57"/>
        <v/>
      </c>
      <c r="AX120" s="48" t="str">
        <f t="shared" si="58"/>
        <v/>
      </c>
      <c r="AY120" s="48" t="str">
        <f t="shared" si="59"/>
        <v/>
      </c>
      <c r="AZ120" s="48" t="str">
        <f t="shared" si="60"/>
        <v/>
      </c>
      <c r="BA120" s="48" t="str">
        <f t="shared" si="61"/>
        <v/>
      </c>
      <c r="BB120" s="48" t="str">
        <f t="shared" si="62"/>
        <v/>
      </c>
    </row>
    <row r="121" spans="1:54" x14ac:dyDescent="0.2">
      <c r="A121" s="30"/>
      <c r="B121" s="23"/>
      <c r="C121" s="23"/>
      <c r="D121" s="24"/>
      <c r="E121" s="24"/>
      <c r="F121" s="24"/>
      <c r="G121" s="24"/>
      <c r="H121" s="10" t="str">
        <f t="shared" si="33"/>
        <v/>
      </c>
      <c r="I121" s="10" t="str">
        <f t="shared" si="34"/>
        <v/>
      </c>
      <c r="J121" s="24"/>
      <c r="K121" s="13" t="str">
        <f t="shared" si="35"/>
        <v/>
      </c>
      <c r="L121" s="13" t="str">
        <f t="shared" si="36"/>
        <v/>
      </c>
      <c r="M121" s="25"/>
      <c r="N121" s="25"/>
      <c r="O121" s="22"/>
      <c r="P121" s="11" t="str">
        <f t="shared" si="37"/>
        <v/>
      </c>
      <c r="Q121" s="26"/>
      <c r="R121" s="22"/>
      <c r="S121" s="29" t="str">
        <f t="shared" si="38"/>
        <v/>
      </c>
      <c r="T121" s="12" t="str">
        <f t="shared" si="39"/>
        <v/>
      </c>
      <c r="U121" s="12" t="str">
        <f t="shared" si="40"/>
        <v/>
      </c>
      <c r="V121" s="12" t="str">
        <f>IF(AND($B121="",$C121=""),"",HLOOKUP(VLOOKUP($B$1,'Cidade-ER'!$A:$B,2,0),$AP$6:$BB121,ROW()-5,0))</f>
        <v/>
      </c>
      <c r="W121" s="12" t="str">
        <f t="shared" si="41"/>
        <v/>
      </c>
      <c r="X121" s="12" t="str">
        <f t="shared" si="42"/>
        <v/>
      </c>
      <c r="Y121" s="14" t="str">
        <f t="shared" si="43"/>
        <v/>
      </c>
      <c r="Z121" s="12" t="str">
        <f t="shared" si="44"/>
        <v/>
      </c>
      <c r="AA121" s="12" t="str">
        <f>IF(AND($B121="",$C121=""),"",(Sarjeta!$C$17^(5/3))*(Sarjeta!$C$16^(-2/3))*(ABS($K121)^0.5)/Sarjeta!$C$14*1000*2)</f>
        <v/>
      </c>
      <c r="AB121" s="12" t="str">
        <f>IF(AND($B121="",$C121=""),"",(Sarjeta!$C$17/Sarjeta!$C$16)^(2/3)*(ABS($K121)^0.5)/Sarjeta!$C$14)</f>
        <v/>
      </c>
      <c r="AC121" s="36" t="str">
        <f>IF(AND($B121="",$C121=""),"",IF(Z121&lt;AA121,0,MAX(ROUND(Z121/AA121,0)*2,ROUNDUP(ROUND(Z121/Sarjeta!$C$19,0)/2,0)*2)))</f>
        <v/>
      </c>
      <c r="AD121" s="26"/>
      <c r="AE121" s="27"/>
      <c r="AF121" s="32" t="str">
        <f>IF(OR($AE121="",AND($B121="",$C121="")),"",IF(ISERROR(VLOOKUP(AL121,Coeficientes!$A:$C,3,1)),0.05,VLOOKUP(AL121,Coeficientes!$A:$C,3,1)))</f>
        <v/>
      </c>
      <c r="AG121" s="12" t="str">
        <f t="shared" si="32"/>
        <v/>
      </c>
      <c r="AH121" s="30"/>
      <c r="AI121" s="31"/>
      <c r="AJ121" s="48" t="str">
        <f t="shared" si="45"/>
        <v/>
      </c>
      <c r="AK121" s="48" t="str">
        <f t="shared" si="46"/>
        <v/>
      </c>
      <c r="AL121" s="48" t="str">
        <f t="shared" si="47"/>
        <v/>
      </c>
      <c r="AM121" s="48" t="str">
        <f>IF(AND($B121="",$C121=""),"",VLOOKUP($AF121,Coeficientes!$C:$D,2,0))</f>
        <v/>
      </c>
      <c r="AN121" s="48" t="str">
        <f t="shared" si="48"/>
        <v/>
      </c>
      <c r="AO121" s="48" t="str">
        <f t="shared" si="49"/>
        <v/>
      </c>
      <c r="AP121" s="48" t="str">
        <f t="shared" si="50"/>
        <v/>
      </c>
      <c r="AQ121" s="48" t="str">
        <f t="shared" si="51"/>
        <v/>
      </c>
      <c r="AR121" s="48" t="str">
        <f t="shared" si="52"/>
        <v/>
      </c>
      <c r="AS121" s="48" t="str">
        <f t="shared" si="53"/>
        <v/>
      </c>
      <c r="AT121" s="48" t="str">
        <f t="shared" si="54"/>
        <v/>
      </c>
      <c r="AU121" s="48" t="str">
        <f t="shared" si="55"/>
        <v/>
      </c>
      <c r="AV121" s="48" t="str">
        <f t="shared" si="56"/>
        <v/>
      </c>
      <c r="AW121" s="48" t="str">
        <f t="shared" si="57"/>
        <v/>
      </c>
      <c r="AX121" s="48" t="str">
        <f t="shared" si="58"/>
        <v/>
      </c>
      <c r="AY121" s="48" t="str">
        <f t="shared" si="59"/>
        <v/>
      </c>
      <c r="AZ121" s="48" t="str">
        <f t="shared" si="60"/>
        <v/>
      </c>
      <c r="BA121" s="48" t="str">
        <f t="shared" si="61"/>
        <v/>
      </c>
      <c r="BB121" s="48" t="str">
        <f t="shared" si="62"/>
        <v/>
      </c>
    </row>
    <row r="122" spans="1:54" x14ac:dyDescent="0.2">
      <c r="A122" s="30"/>
      <c r="B122" s="23"/>
      <c r="C122" s="23"/>
      <c r="D122" s="24"/>
      <c r="E122" s="24"/>
      <c r="F122" s="24"/>
      <c r="G122" s="24"/>
      <c r="H122" s="10" t="str">
        <f t="shared" si="33"/>
        <v/>
      </c>
      <c r="I122" s="10" t="str">
        <f t="shared" si="34"/>
        <v/>
      </c>
      <c r="J122" s="24"/>
      <c r="K122" s="13" t="str">
        <f t="shared" si="35"/>
        <v/>
      </c>
      <c r="L122" s="13" t="str">
        <f t="shared" si="36"/>
        <v/>
      </c>
      <c r="M122" s="25"/>
      <c r="N122" s="25"/>
      <c r="O122" s="22"/>
      <c r="P122" s="11" t="str">
        <f t="shared" si="37"/>
        <v/>
      </c>
      <c r="Q122" s="26"/>
      <c r="R122" s="22"/>
      <c r="S122" s="29" t="str">
        <f t="shared" si="38"/>
        <v/>
      </c>
      <c r="T122" s="12" t="str">
        <f t="shared" si="39"/>
        <v/>
      </c>
      <c r="U122" s="12" t="str">
        <f t="shared" si="40"/>
        <v/>
      </c>
      <c r="V122" s="12" t="str">
        <f>IF(AND($B122="",$C122=""),"",HLOOKUP(VLOOKUP($B$1,'Cidade-ER'!$A:$B,2,0),$AP$6:$BB122,ROW()-5,0))</f>
        <v/>
      </c>
      <c r="W122" s="12" t="str">
        <f t="shared" si="41"/>
        <v/>
      </c>
      <c r="X122" s="12" t="str">
        <f t="shared" si="42"/>
        <v/>
      </c>
      <c r="Y122" s="14" t="str">
        <f t="shared" si="43"/>
        <v/>
      </c>
      <c r="Z122" s="12" t="str">
        <f t="shared" si="44"/>
        <v/>
      </c>
      <c r="AA122" s="12" t="str">
        <f>IF(AND($B122="",$C122=""),"",(Sarjeta!$C$17^(5/3))*(Sarjeta!$C$16^(-2/3))*(ABS($K122)^0.5)/Sarjeta!$C$14*1000*2)</f>
        <v/>
      </c>
      <c r="AB122" s="12" t="str">
        <f>IF(AND($B122="",$C122=""),"",(Sarjeta!$C$17/Sarjeta!$C$16)^(2/3)*(ABS($K122)^0.5)/Sarjeta!$C$14)</f>
        <v/>
      </c>
      <c r="AC122" s="36" t="str">
        <f>IF(AND($B122="",$C122=""),"",IF(Z122&lt;AA122,0,MAX(ROUND(Z122/AA122,0)*2,ROUNDUP(ROUND(Z122/Sarjeta!$C$19,0)/2,0)*2)))</f>
        <v/>
      </c>
      <c r="AD122" s="26"/>
      <c r="AE122" s="27"/>
      <c r="AF122" s="32" t="str">
        <f>IF(OR($AE122="",AND($B122="",$C122="")),"",IF(ISERROR(VLOOKUP(AL122,Coeficientes!$A:$C,3,1)),0.05,VLOOKUP(AL122,Coeficientes!$A:$C,3,1)))</f>
        <v/>
      </c>
      <c r="AG122" s="12" t="str">
        <f t="shared" si="32"/>
        <v/>
      </c>
      <c r="AH122" s="30"/>
      <c r="AI122" s="31"/>
      <c r="AJ122" s="48" t="str">
        <f t="shared" si="45"/>
        <v/>
      </c>
      <c r="AK122" s="48" t="str">
        <f t="shared" si="46"/>
        <v/>
      </c>
      <c r="AL122" s="48" t="str">
        <f t="shared" si="47"/>
        <v/>
      </c>
      <c r="AM122" s="48" t="str">
        <f>IF(AND($B122="",$C122=""),"",VLOOKUP($AF122,Coeficientes!$C:$D,2,0))</f>
        <v/>
      </c>
      <c r="AN122" s="48" t="str">
        <f t="shared" si="48"/>
        <v/>
      </c>
      <c r="AO122" s="48" t="str">
        <f t="shared" si="49"/>
        <v/>
      </c>
      <c r="AP122" s="48" t="str">
        <f t="shared" si="50"/>
        <v/>
      </c>
      <c r="AQ122" s="48" t="str">
        <f t="shared" si="51"/>
        <v/>
      </c>
      <c r="AR122" s="48" t="str">
        <f t="shared" si="52"/>
        <v/>
      </c>
      <c r="AS122" s="48" t="str">
        <f t="shared" si="53"/>
        <v/>
      </c>
      <c r="AT122" s="48" t="str">
        <f t="shared" si="54"/>
        <v/>
      </c>
      <c r="AU122" s="48" t="str">
        <f t="shared" si="55"/>
        <v/>
      </c>
      <c r="AV122" s="48" t="str">
        <f t="shared" si="56"/>
        <v/>
      </c>
      <c r="AW122" s="48" t="str">
        <f t="shared" si="57"/>
        <v/>
      </c>
      <c r="AX122" s="48" t="str">
        <f t="shared" si="58"/>
        <v/>
      </c>
      <c r="AY122" s="48" t="str">
        <f t="shared" si="59"/>
        <v/>
      </c>
      <c r="AZ122" s="48" t="str">
        <f t="shared" si="60"/>
        <v/>
      </c>
      <c r="BA122" s="48" t="str">
        <f t="shared" si="61"/>
        <v/>
      </c>
      <c r="BB122" s="48" t="str">
        <f t="shared" si="62"/>
        <v/>
      </c>
    </row>
    <row r="123" spans="1:54" x14ac:dyDescent="0.2">
      <c r="A123" s="30"/>
      <c r="B123" s="23"/>
      <c r="C123" s="23"/>
      <c r="D123" s="24"/>
      <c r="E123" s="24"/>
      <c r="F123" s="24"/>
      <c r="G123" s="24"/>
      <c r="H123" s="10" t="str">
        <f t="shared" si="33"/>
        <v/>
      </c>
      <c r="I123" s="10" t="str">
        <f t="shared" si="34"/>
        <v/>
      </c>
      <c r="J123" s="24"/>
      <c r="K123" s="13" t="str">
        <f t="shared" si="35"/>
        <v/>
      </c>
      <c r="L123" s="13" t="str">
        <f t="shared" si="36"/>
        <v/>
      </c>
      <c r="M123" s="25"/>
      <c r="N123" s="25"/>
      <c r="O123" s="22"/>
      <c r="P123" s="11" t="str">
        <f t="shared" si="37"/>
        <v/>
      </c>
      <c r="Q123" s="26"/>
      <c r="R123" s="22"/>
      <c r="S123" s="29" t="str">
        <f t="shared" si="38"/>
        <v/>
      </c>
      <c r="T123" s="12" t="str">
        <f t="shared" si="39"/>
        <v/>
      </c>
      <c r="U123" s="12" t="str">
        <f t="shared" si="40"/>
        <v/>
      </c>
      <c r="V123" s="12" t="str">
        <f>IF(AND($B123="",$C123=""),"",HLOOKUP(VLOOKUP($B$1,'Cidade-ER'!$A:$B,2,0),$AP$6:$BB123,ROW()-5,0))</f>
        <v/>
      </c>
      <c r="W123" s="12" t="str">
        <f t="shared" si="41"/>
        <v/>
      </c>
      <c r="X123" s="12" t="str">
        <f t="shared" si="42"/>
        <v/>
      </c>
      <c r="Y123" s="14" t="str">
        <f t="shared" si="43"/>
        <v/>
      </c>
      <c r="Z123" s="12" t="str">
        <f t="shared" si="44"/>
        <v/>
      </c>
      <c r="AA123" s="12" t="str">
        <f>IF(AND($B123="",$C123=""),"",(Sarjeta!$C$17^(5/3))*(Sarjeta!$C$16^(-2/3))*(ABS($K123)^0.5)/Sarjeta!$C$14*1000*2)</f>
        <v/>
      </c>
      <c r="AB123" s="12" t="str">
        <f>IF(AND($B123="",$C123=""),"",(Sarjeta!$C$17/Sarjeta!$C$16)^(2/3)*(ABS($K123)^0.5)/Sarjeta!$C$14)</f>
        <v/>
      </c>
      <c r="AC123" s="36" t="str">
        <f>IF(AND($B123="",$C123=""),"",IF(Z123&lt;AA123,0,MAX(ROUND(Z123/AA123,0)*2,ROUNDUP(ROUND(Z123/Sarjeta!$C$19,0)/2,0)*2)))</f>
        <v/>
      </c>
      <c r="AD123" s="26"/>
      <c r="AE123" s="27"/>
      <c r="AF123" s="32" t="str">
        <f>IF(OR($AE123="",AND($B123="",$C123="")),"",IF(ISERROR(VLOOKUP(AL123,Coeficientes!$A:$C,3,1)),0.05,VLOOKUP(AL123,Coeficientes!$A:$C,3,1)))</f>
        <v/>
      </c>
      <c r="AG123" s="12" t="str">
        <f t="shared" si="32"/>
        <v/>
      </c>
      <c r="AH123" s="30"/>
      <c r="AI123" s="31"/>
      <c r="AJ123" s="48" t="str">
        <f t="shared" si="45"/>
        <v/>
      </c>
      <c r="AK123" s="48" t="str">
        <f t="shared" si="46"/>
        <v/>
      </c>
      <c r="AL123" s="48" t="str">
        <f t="shared" si="47"/>
        <v/>
      </c>
      <c r="AM123" s="48" t="str">
        <f>IF(AND($B123="",$C123=""),"",VLOOKUP($AF123,Coeficientes!$C:$D,2,0))</f>
        <v/>
      </c>
      <c r="AN123" s="48" t="str">
        <f t="shared" si="48"/>
        <v/>
      </c>
      <c r="AO123" s="48" t="str">
        <f t="shared" si="49"/>
        <v/>
      </c>
      <c r="AP123" s="48" t="str">
        <f t="shared" si="50"/>
        <v/>
      </c>
      <c r="AQ123" s="48" t="str">
        <f t="shared" si="51"/>
        <v/>
      </c>
      <c r="AR123" s="48" t="str">
        <f t="shared" si="52"/>
        <v/>
      </c>
      <c r="AS123" s="48" t="str">
        <f t="shared" si="53"/>
        <v/>
      </c>
      <c r="AT123" s="48" t="str">
        <f t="shared" si="54"/>
        <v/>
      </c>
      <c r="AU123" s="48" t="str">
        <f t="shared" si="55"/>
        <v/>
      </c>
      <c r="AV123" s="48" t="str">
        <f t="shared" si="56"/>
        <v/>
      </c>
      <c r="AW123" s="48" t="str">
        <f t="shared" si="57"/>
        <v/>
      </c>
      <c r="AX123" s="48" t="str">
        <f t="shared" si="58"/>
        <v/>
      </c>
      <c r="AY123" s="48" t="str">
        <f t="shared" si="59"/>
        <v/>
      </c>
      <c r="AZ123" s="48" t="str">
        <f t="shared" si="60"/>
        <v/>
      </c>
      <c r="BA123" s="48" t="str">
        <f t="shared" si="61"/>
        <v/>
      </c>
      <c r="BB123" s="48" t="str">
        <f t="shared" si="62"/>
        <v/>
      </c>
    </row>
    <row r="124" spans="1:54" x14ac:dyDescent="0.2">
      <c r="A124" s="30"/>
      <c r="B124" s="23"/>
      <c r="C124" s="23"/>
      <c r="D124" s="24"/>
      <c r="E124" s="24"/>
      <c r="F124" s="24"/>
      <c r="G124" s="24"/>
      <c r="H124" s="10" t="str">
        <f t="shared" si="33"/>
        <v/>
      </c>
      <c r="I124" s="10" t="str">
        <f t="shared" si="34"/>
        <v/>
      </c>
      <c r="J124" s="24"/>
      <c r="K124" s="13" t="str">
        <f t="shared" si="35"/>
        <v/>
      </c>
      <c r="L124" s="13" t="str">
        <f t="shared" si="36"/>
        <v/>
      </c>
      <c r="M124" s="25"/>
      <c r="N124" s="25"/>
      <c r="O124" s="22"/>
      <c r="P124" s="11" t="str">
        <f t="shared" si="37"/>
        <v/>
      </c>
      <c r="Q124" s="26"/>
      <c r="R124" s="22"/>
      <c r="S124" s="29" t="str">
        <f t="shared" si="38"/>
        <v/>
      </c>
      <c r="T124" s="12" t="str">
        <f t="shared" si="39"/>
        <v/>
      </c>
      <c r="U124" s="12" t="str">
        <f t="shared" si="40"/>
        <v/>
      </c>
      <c r="V124" s="12" t="str">
        <f>IF(AND($B124="",$C124=""),"",HLOOKUP(VLOOKUP($B$1,'Cidade-ER'!$A:$B,2,0),$AP$6:$BB124,ROW()-5,0))</f>
        <v/>
      </c>
      <c r="W124" s="12" t="str">
        <f t="shared" si="41"/>
        <v/>
      </c>
      <c r="X124" s="12" t="str">
        <f t="shared" si="42"/>
        <v/>
      </c>
      <c r="Y124" s="14" t="str">
        <f t="shared" si="43"/>
        <v/>
      </c>
      <c r="Z124" s="12" t="str">
        <f t="shared" si="44"/>
        <v/>
      </c>
      <c r="AA124" s="12" t="str">
        <f>IF(AND($B124="",$C124=""),"",(Sarjeta!$C$17^(5/3))*(Sarjeta!$C$16^(-2/3))*(ABS($K124)^0.5)/Sarjeta!$C$14*1000*2)</f>
        <v/>
      </c>
      <c r="AB124" s="12" t="str">
        <f>IF(AND($B124="",$C124=""),"",(Sarjeta!$C$17/Sarjeta!$C$16)^(2/3)*(ABS($K124)^0.5)/Sarjeta!$C$14)</f>
        <v/>
      </c>
      <c r="AC124" s="36" t="str">
        <f>IF(AND($B124="",$C124=""),"",IF(Z124&lt;AA124,0,MAX(ROUND(Z124/AA124,0)*2,ROUNDUP(ROUND(Z124/Sarjeta!$C$19,0)/2,0)*2)))</f>
        <v/>
      </c>
      <c r="AD124" s="26"/>
      <c r="AE124" s="27"/>
      <c r="AF124" s="32" t="str">
        <f>IF(OR($AE124="",AND($B124="",$C124="")),"",IF(ISERROR(VLOOKUP(AL124,Coeficientes!$A:$C,3,1)),0.05,VLOOKUP(AL124,Coeficientes!$A:$C,3,1)))</f>
        <v/>
      </c>
      <c r="AG124" s="12" t="str">
        <f t="shared" si="32"/>
        <v/>
      </c>
      <c r="AH124" s="30"/>
      <c r="AI124" s="31"/>
      <c r="AJ124" s="48" t="str">
        <f t="shared" si="45"/>
        <v/>
      </c>
      <c r="AK124" s="48" t="str">
        <f t="shared" si="46"/>
        <v/>
      </c>
      <c r="AL124" s="48" t="str">
        <f t="shared" si="47"/>
        <v/>
      </c>
      <c r="AM124" s="48" t="str">
        <f>IF(AND($B124="",$C124=""),"",VLOOKUP($AF124,Coeficientes!$C:$D,2,0))</f>
        <v/>
      </c>
      <c r="AN124" s="48" t="str">
        <f t="shared" si="48"/>
        <v/>
      </c>
      <c r="AO124" s="48" t="str">
        <f t="shared" si="49"/>
        <v/>
      </c>
      <c r="AP124" s="48" t="str">
        <f t="shared" si="50"/>
        <v/>
      </c>
      <c r="AQ124" s="48" t="str">
        <f t="shared" si="51"/>
        <v/>
      </c>
      <c r="AR124" s="48" t="str">
        <f t="shared" si="52"/>
        <v/>
      </c>
      <c r="AS124" s="48" t="str">
        <f t="shared" si="53"/>
        <v/>
      </c>
      <c r="AT124" s="48" t="str">
        <f t="shared" si="54"/>
        <v/>
      </c>
      <c r="AU124" s="48" t="str">
        <f t="shared" si="55"/>
        <v/>
      </c>
      <c r="AV124" s="48" t="str">
        <f t="shared" si="56"/>
        <v/>
      </c>
      <c r="AW124" s="48" t="str">
        <f t="shared" si="57"/>
        <v/>
      </c>
      <c r="AX124" s="48" t="str">
        <f t="shared" si="58"/>
        <v/>
      </c>
      <c r="AY124" s="48" t="str">
        <f t="shared" si="59"/>
        <v/>
      </c>
      <c r="AZ124" s="48" t="str">
        <f t="shared" si="60"/>
        <v/>
      </c>
      <c r="BA124" s="48" t="str">
        <f t="shared" si="61"/>
        <v/>
      </c>
      <c r="BB124" s="48" t="str">
        <f t="shared" si="62"/>
        <v/>
      </c>
    </row>
    <row r="125" spans="1:54" x14ac:dyDescent="0.2">
      <c r="A125" s="30"/>
      <c r="B125" s="23"/>
      <c r="C125" s="23"/>
      <c r="D125" s="24"/>
      <c r="E125" s="24"/>
      <c r="F125" s="24"/>
      <c r="G125" s="24"/>
      <c r="H125" s="10" t="str">
        <f t="shared" si="33"/>
        <v/>
      </c>
      <c r="I125" s="10" t="str">
        <f t="shared" si="34"/>
        <v/>
      </c>
      <c r="J125" s="24"/>
      <c r="K125" s="13" t="str">
        <f t="shared" si="35"/>
        <v/>
      </c>
      <c r="L125" s="13" t="str">
        <f t="shared" si="36"/>
        <v/>
      </c>
      <c r="M125" s="25"/>
      <c r="N125" s="25"/>
      <c r="O125" s="22"/>
      <c r="P125" s="11" t="str">
        <f t="shared" si="37"/>
        <v/>
      </c>
      <c r="Q125" s="26"/>
      <c r="R125" s="22"/>
      <c r="S125" s="29" t="str">
        <f t="shared" si="38"/>
        <v/>
      </c>
      <c r="T125" s="12" t="str">
        <f t="shared" si="39"/>
        <v/>
      </c>
      <c r="U125" s="12" t="str">
        <f t="shared" si="40"/>
        <v/>
      </c>
      <c r="V125" s="12" t="str">
        <f>IF(AND($B125="",$C125=""),"",HLOOKUP(VLOOKUP($B$1,'Cidade-ER'!$A:$B,2,0),$AP$6:$BB125,ROW()-5,0))</f>
        <v/>
      </c>
      <c r="W125" s="12" t="str">
        <f t="shared" si="41"/>
        <v/>
      </c>
      <c r="X125" s="12" t="str">
        <f t="shared" si="42"/>
        <v/>
      </c>
      <c r="Y125" s="14" t="str">
        <f t="shared" si="43"/>
        <v/>
      </c>
      <c r="Z125" s="12" t="str">
        <f t="shared" si="44"/>
        <v/>
      </c>
      <c r="AA125" s="12" t="str">
        <f>IF(AND($B125="",$C125=""),"",(Sarjeta!$C$17^(5/3))*(Sarjeta!$C$16^(-2/3))*(ABS($K125)^0.5)/Sarjeta!$C$14*1000*2)</f>
        <v/>
      </c>
      <c r="AB125" s="12" t="str">
        <f>IF(AND($B125="",$C125=""),"",(Sarjeta!$C$17/Sarjeta!$C$16)^(2/3)*(ABS($K125)^0.5)/Sarjeta!$C$14)</f>
        <v/>
      </c>
      <c r="AC125" s="36" t="str">
        <f>IF(AND($B125="",$C125=""),"",IF(Z125&lt;AA125,0,MAX(ROUND(Z125/AA125,0)*2,ROUNDUP(ROUND(Z125/Sarjeta!$C$19,0)/2,0)*2)))</f>
        <v/>
      </c>
      <c r="AD125" s="26"/>
      <c r="AE125" s="27"/>
      <c r="AF125" s="32" t="str">
        <f>IF(OR($AE125="",AND($B125="",$C125="")),"",IF(ISERROR(VLOOKUP(AL125,Coeficientes!$A:$C,3,1)),0.05,VLOOKUP(AL125,Coeficientes!$A:$C,3,1)))</f>
        <v/>
      </c>
      <c r="AG125" s="12" t="str">
        <f t="shared" si="32"/>
        <v/>
      </c>
      <c r="AH125" s="30"/>
      <c r="AI125" s="31"/>
      <c r="AJ125" s="48" t="str">
        <f t="shared" si="45"/>
        <v/>
      </c>
      <c r="AK125" s="48" t="str">
        <f t="shared" si="46"/>
        <v/>
      </c>
      <c r="AL125" s="48" t="str">
        <f t="shared" si="47"/>
        <v/>
      </c>
      <c r="AM125" s="48" t="str">
        <f>IF(AND($B125="",$C125=""),"",VLOOKUP($AF125,Coeficientes!$C:$D,2,0))</f>
        <v/>
      </c>
      <c r="AN125" s="48" t="str">
        <f t="shared" si="48"/>
        <v/>
      </c>
      <c r="AO125" s="48" t="str">
        <f t="shared" si="49"/>
        <v/>
      </c>
      <c r="AP125" s="48" t="str">
        <f t="shared" si="50"/>
        <v/>
      </c>
      <c r="AQ125" s="48" t="str">
        <f t="shared" si="51"/>
        <v/>
      </c>
      <c r="AR125" s="48" t="str">
        <f t="shared" si="52"/>
        <v/>
      </c>
      <c r="AS125" s="48" t="str">
        <f t="shared" si="53"/>
        <v/>
      </c>
      <c r="AT125" s="48" t="str">
        <f t="shared" si="54"/>
        <v/>
      </c>
      <c r="AU125" s="48" t="str">
        <f t="shared" si="55"/>
        <v/>
      </c>
      <c r="AV125" s="48" t="str">
        <f t="shared" si="56"/>
        <v/>
      </c>
      <c r="AW125" s="48" t="str">
        <f t="shared" si="57"/>
        <v/>
      </c>
      <c r="AX125" s="48" t="str">
        <f t="shared" si="58"/>
        <v/>
      </c>
      <c r="AY125" s="48" t="str">
        <f t="shared" si="59"/>
        <v/>
      </c>
      <c r="AZ125" s="48" t="str">
        <f t="shared" si="60"/>
        <v/>
      </c>
      <c r="BA125" s="48" t="str">
        <f t="shared" si="61"/>
        <v/>
      </c>
      <c r="BB125" s="48" t="str">
        <f t="shared" si="62"/>
        <v/>
      </c>
    </row>
    <row r="126" spans="1:54" x14ac:dyDescent="0.2">
      <c r="A126" s="30"/>
      <c r="B126" s="23"/>
      <c r="C126" s="23"/>
      <c r="D126" s="24"/>
      <c r="E126" s="24"/>
      <c r="F126" s="24"/>
      <c r="G126" s="24"/>
      <c r="H126" s="10" t="str">
        <f t="shared" si="33"/>
        <v/>
      </c>
      <c r="I126" s="10" t="str">
        <f t="shared" si="34"/>
        <v/>
      </c>
      <c r="J126" s="24"/>
      <c r="K126" s="13" t="str">
        <f t="shared" si="35"/>
        <v/>
      </c>
      <c r="L126" s="13" t="str">
        <f t="shared" si="36"/>
        <v/>
      </c>
      <c r="M126" s="25"/>
      <c r="N126" s="25"/>
      <c r="O126" s="22"/>
      <c r="P126" s="11" t="str">
        <f t="shared" si="37"/>
        <v/>
      </c>
      <c r="Q126" s="26"/>
      <c r="R126" s="22"/>
      <c r="S126" s="29" t="str">
        <f t="shared" si="38"/>
        <v/>
      </c>
      <c r="T126" s="12" t="str">
        <f t="shared" si="39"/>
        <v/>
      </c>
      <c r="U126" s="12" t="str">
        <f t="shared" si="40"/>
        <v/>
      </c>
      <c r="V126" s="12" t="str">
        <f>IF(AND($B126="",$C126=""),"",HLOOKUP(VLOOKUP($B$1,'Cidade-ER'!$A:$B,2,0),$AP$6:$BB126,ROW()-5,0))</f>
        <v/>
      </c>
      <c r="W126" s="12" t="str">
        <f t="shared" si="41"/>
        <v/>
      </c>
      <c r="X126" s="12" t="str">
        <f t="shared" si="42"/>
        <v/>
      </c>
      <c r="Y126" s="14" t="str">
        <f t="shared" si="43"/>
        <v/>
      </c>
      <c r="Z126" s="12" t="str">
        <f t="shared" si="44"/>
        <v/>
      </c>
      <c r="AA126" s="12" t="str">
        <f>IF(AND($B126="",$C126=""),"",(Sarjeta!$C$17^(5/3))*(Sarjeta!$C$16^(-2/3))*(ABS($K126)^0.5)/Sarjeta!$C$14*1000*2)</f>
        <v/>
      </c>
      <c r="AB126" s="12" t="str">
        <f>IF(AND($B126="",$C126=""),"",(Sarjeta!$C$17/Sarjeta!$C$16)^(2/3)*(ABS($K126)^0.5)/Sarjeta!$C$14)</f>
        <v/>
      </c>
      <c r="AC126" s="36" t="str">
        <f>IF(AND($B126="",$C126=""),"",IF(Z126&lt;AA126,0,MAX(ROUND(Z126/AA126,0)*2,ROUNDUP(ROUND(Z126/Sarjeta!$C$19,0)/2,0)*2)))</f>
        <v/>
      </c>
      <c r="AD126" s="26"/>
      <c r="AE126" s="27"/>
      <c r="AF126" s="32" t="str">
        <f>IF(OR($AE126="",AND($B126="",$C126="")),"",IF(ISERROR(VLOOKUP(AL126,Coeficientes!$A:$C,3,1)),0.05,VLOOKUP(AL126,Coeficientes!$A:$C,3,1)))</f>
        <v/>
      </c>
      <c r="AG126" s="12" t="str">
        <f t="shared" si="32"/>
        <v/>
      </c>
      <c r="AH126" s="30"/>
      <c r="AI126" s="31"/>
      <c r="AJ126" s="48" t="str">
        <f t="shared" si="45"/>
        <v/>
      </c>
      <c r="AK126" s="48" t="str">
        <f t="shared" si="46"/>
        <v/>
      </c>
      <c r="AL126" s="48" t="str">
        <f t="shared" si="47"/>
        <v/>
      </c>
      <c r="AM126" s="48" t="str">
        <f>IF(AND($B126="",$C126=""),"",VLOOKUP($AF126,Coeficientes!$C:$D,2,0))</f>
        <v/>
      </c>
      <c r="AN126" s="48" t="str">
        <f t="shared" si="48"/>
        <v/>
      </c>
      <c r="AO126" s="48" t="str">
        <f t="shared" si="49"/>
        <v/>
      </c>
      <c r="AP126" s="48" t="str">
        <f t="shared" si="50"/>
        <v/>
      </c>
      <c r="AQ126" s="48" t="str">
        <f t="shared" si="51"/>
        <v/>
      </c>
      <c r="AR126" s="48" t="str">
        <f t="shared" si="52"/>
        <v/>
      </c>
      <c r="AS126" s="48" t="str">
        <f t="shared" si="53"/>
        <v/>
      </c>
      <c r="AT126" s="48" t="str">
        <f t="shared" si="54"/>
        <v/>
      </c>
      <c r="AU126" s="48" t="str">
        <f t="shared" si="55"/>
        <v/>
      </c>
      <c r="AV126" s="48" t="str">
        <f t="shared" si="56"/>
        <v/>
      </c>
      <c r="AW126" s="48" t="str">
        <f t="shared" si="57"/>
        <v/>
      </c>
      <c r="AX126" s="48" t="str">
        <f t="shared" si="58"/>
        <v/>
      </c>
      <c r="AY126" s="48" t="str">
        <f t="shared" si="59"/>
        <v/>
      </c>
      <c r="AZ126" s="48" t="str">
        <f t="shared" si="60"/>
        <v/>
      </c>
      <c r="BA126" s="48" t="str">
        <f t="shared" si="61"/>
        <v/>
      </c>
      <c r="BB126" s="48" t="str">
        <f t="shared" si="62"/>
        <v/>
      </c>
    </row>
    <row r="127" spans="1:54" x14ac:dyDescent="0.2">
      <c r="A127" s="30"/>
      <c r="B127" s="23"/>
      <c r="C127" s="23"/>
      <c r="D127" s="24"/>
      <c r="E127" s="24"/>
      <c r="F127" s="24"/>
      <c r="G127" s="24"/>
      <c r="H127" s="10" t="str">
        <f t="shared" si="33"/>
        <v/>
      </c>
      <c r="I127" s="10" t="str">
        <f t="shared" si="34"/>
        <v/>
      </c>
      <c r="J127" s="24"/>
      <c r="K127" s="13" t="str">
        <f t="shared" si="35"/>
        <v/>
      </c>
      <c r="L127" s="13" t="str">
        <f t="shared" si="36"/>
        <v/>
      </c>
      <c r="M127" s="25"/>
      <c r="N127" s="25"/>
      <c r="O127" s="22"/>
      <c r="P127" s="11" t="str">
        <f t="shared" si="37"/>
        <v/>
      </c>
      <c r="Q127" s="26"/>
      <c r="R127" s="22"/>
      <c r="S127" s="29" t="str">
        <f t="shared" si="38"/>
        <v/>
      </c>
      <c r="T127" s="12" t="str">
        <f t="shared" si="39"/>
        <v/>
      </c>
      <c r="U127" s="12" t="str">
        <f t="shared" si="40"/>
        <v/>
      </c>
      <c r="V127" s="12" t="str">
        <f>IF(AND($B127="",$C127=""),"",HLOOKUP(VLOOKUP($B$1,'Cidade-ER'!$A:$B,2,0),$AP$6:$BB127,ROW()-5,0))</f>
        <v/>
      </c>
      <c r="W127" s="12" t="str">
        <f t="shared" si="41"/>
        <v/>
      </c>
      <c r="X127" s="12" t="str">
        <f t="shared" si="42"/>
        <v/>
      </c>
      <c r="Y127" s="14" t="str">
        <f t="shared" si="43"/>
        <v/>
      </c>
      <c r="Z127" s="12" t="str">
        <f t="shared" si="44"/>
        <v/>
      </c>
      <c r="AA127" s="12" t="str">
        <f>IF(AND($B127="",$C127=""),"",(Sarjeta!$C$17^(5/3))*(Sarjeta!$C$16^(-2/3))*(ABS($K127)^0.5)/Sarjeta!$C$14*1000*2)</f>
        <v/>
      </c>
      <c r="AB127" s="12" t="str">
        <f>IF(AND($B127="",$C127=""),"",(Sarjeta!$C$17/Sarjeta!$C$16)^(2/3)*(ABS($K127)^0.5)/Sarjeta!$C$14)</f>
        <v/>
      </c>
      <c r="AC127" s="36" t="str">
        <f>IF(AND($B127="",$C127=""),"",IF(Z127&lt;AA127,0,MAX(ROUND(Z127/AA127,0)*2,ROUNDUP(ROUND(Z127/Sarjeta!$C$19,0)/2,0)*2)))</f>
        <v/>
      </c>
      <c r="AD127" s="26"/>
      <c r="AE127" s="27"/>
      <c r="AF127" s="32" t="str">
        <f>IF(OR($AE127="",AND($B127="",$C127="")),"",IF(ISERROR(VLOOKUP(AL127,Coeficientes!$A:$C,3,1)),0.05,VLOOKUP(AL127,Coeficientes!$A:$C,3,1)))</f>
        <v/>
      </c>
      <c r="AG127" s="12" t="str">
        <f t="shared" si="32"/>
        <v/>
      </c>
      <c r="AH127" s="30"/>
      <c r="AI127" s="31"/>
      <c r="AJ127" s="48" t="str">
        <f t="shared" si="45"/>
        <v/>
      </c>
      <c r="AK127" s="48" t="str">
        <f t="shared" si="46"/>
        <v/>
      </c>
      <c r="AL127" s="48" t="str">
        <f t="shared" si="47"/>
        <v/>
      </c>
      <c r="AM127" s="48" t="str">
        <f>IF(AND($B127="",$C127=""),"",VLOOKUP($AF127,Coeficientes!$C:$D,2,0))</f>
        <v/>
      </c>
      <c r="AN127" s="48" t="str">
        <f t="shared" si="48"/>
        <v/>
      </c>
      <c r="AO127" s="48" t="str">
        <f t="shared" si="49"/>
        <v/>
      </c>
      <c r="AP127" s="48" t="str">
        <f t="shared" si="50"/>
        <v/>
      </c>
      <c r="AQ127" s="48" t="str">
        <f t="shared" si="51"/>
        <v/>
      </c>
      <c r="AR127" s="48" t="str">
        <f t="shared" si="52"/>
        <v/>
      </c>
      <c r="AS127" s="48" t="str">
        <f t="shared" si="53"/>
        <v/>
      </c>
      <c r="AT127" s="48" t="str">
        <f t="shared" si="54"/>
        <v/>
      </c>
      <c r="AU127" s="48" t="str">
        <f t="shared" si="55"/>
        <v/>
      </c>
      <c r="AV127" s="48" t="str">
        <f t="shared" si="56"/>
        <v/>
      </c>
      <c r="AW127" s="48" t="str">
        <f t="shared" si="57"/>
        <v/>
      </c>
      <c r="AX127" s="48" t="str">
        <f t="shared" si="58"/>
        <v/>
      </c>
      <c r="AY127" s="48" t="str">
        <f t="shared" si="59"/>
        <v/>
      </c>
      <c r="AZ127" s="48" t="str">
        <f t="shared" si="60"/>
        <v/>
      </c>
      <c r="BA127" s="48" t="str">
        <f t="shared" si="61"/>
        <v/>
      </c>
      <c r="BB127" s="48" t="str">
        <f t="shared" si="62"/>
        <v/>
      </c>
    </row>
    <row r="128" spans="1:54" x14ac:dyDescent="0.2">
      <c r="A128" s="30"/>
      <c r="B128" s="23"/>
      <c r="C128" s="23"/>
      <c r="D128" s="24"/>
      <c r="E128" s="24"/>
      <c r="F128" s="24"/>
      <c r="G128" s="24"/>
      <c r="H128" s="10" t="str">
        <f t="shared" si="33"/>
        <v/>
      </c>
      <c r="I128" s="10" t="str">
        <f t="shared" si="34"/>
        <v/>
      </c>
      <c r="J128" s="24"/>
      <c r="K128" s="13" t="str">
        <f t="shared" si="35"/>
        <v/>
      </c>
      <c r="L128" s="13" t="str">
        <f t="shared" si="36"/>
        <v/>
      </c>
      <c r="M128" s="25"/>
      <c r="N128" s="25"/>
      <c r="O128" s="22"/>
      <c r="P128" s="11" t="str">
        <f t="shared" si="37"/>
        <v/>
      </c>
      <c r="Q128" s="26"/>
      <c r="R128" s="22"/>
      <c r="S128" s="29" t="str">
        <f t="shared" si="38"/>
        <v/>
      </c>
      <c r="T128" s="12" t="str">
        <f t="shared" si="39"/>
        <v/>
      </c>
      <c r="U128" s="12" t="str">
        <f t="shared" si="40"/>
        <v/>
      </c>
      <c r="V128" s="12" t="str">
        <f>IF(AND($B128="",$C128=""),"",HLOOKUP(VLOOKUP($B$1,'Cidade-ER'!$A:$B,2,0),$AP$6:$BB128,ROW()-5,0))</f>
        <v/>
      </c>
      <c r="W128" s="12" t="str">
        <f t="shared" si="41"/>
        <v/>
      </c>
      <c r="X128" s="12" t="str">
        <f t="shared" si="42"/>
        <v/>
      </c>
      <c r="Y128" s="14" t="str">
        <f t="shared" si="43"/>
        <v/>
      </c>
      <c r="Z128" s="12" t="str">
        <f t="shared" si="44"/>
        <v/>
      </c>
      <c r="AA128" s="12" t="str">
        <f>IF(AND($B128="",$C128=""),"",(Sarjeta!$C$17^(5/3))*(Sarjeta!$C$16^(-2/3))*(ABS($K128)^0.5)/Sarjeta!$C$14*1000*2)</f>
        <v/>
      </c>
      <c r="AB128" s="12" t="str">
        <f>IF(AND($B128="",$C128=""),"",(Sarjeta!$C$17/Sarjeta!$C$16)^(2/3)*(ABS($K128)^0.5)/Sarjeta!$C$14)</f>
        <v/>
      </c>
      <c r="AC128" s="36" t="str">
        <f>IF(AND($B128="",$C128=""),"",IF(Z128&lt;AA128,0,MAX(ROUND(Z128/AA128,0)*2,ROUNDUP(ROUND(Z128/Sarjeta!$C$19,0)/2,0)*2)))</f>
        <v/>
      </c>
      <c r="AD128" s="26"/>
      <c r="AE128" s="27"/>
      <c r="AF128" s="32" t="str">
        <f>IF(OR($AE128="",AND($B128="",$C128="")),"",IF(ISERROR(VLOOKUP(AL128,Coeficientes!$A:$C,3,1)),0.05,VLOOKUP(AL128,Coeficientes!$A:$C,3,1)))</f>
        <v/>
      </c>
      <c r="AG128" s="12" t="str">
        <f t="shared" si="32"/>
        <v/>
      </c>
      <c r="AH128" s="30"/>
      <c r="AI128" s="31"/>
      <c r="AJ128" s="48" t="str">
        <f t="shared" si="45"/>
        <v/>
      </c>
      <c r="AK128" s="48" t="str">
        <f t="shared" si="46"/>
        <v/>
      </c>
      <c r="AL128" s="48" t="str">
        <f t="shared" si="47"/>
        <v/>
      </c>
      <c r="AM128" s="48" t="str">
        <f>IF(AND($B128="",$C128=""),"",VLOOKUP($AF128,Coeficientes!$C:$D,2,0))</f>
        <v/>
      </c>
      <c r="AN128" s="48" t="str">
        <f t="shared" si="48"/>
        <v/>
      </c>
      <c r="AO128" s="48" t="str">
        <f t="shared" si="49"/>
        <v/>
      </c>
      <c r="AP128" s="48" t="str">
        <f t="shared" si="50"/>
        <v/>
      </c>
      <c r="AQ128" s="48" t="str">
        <f t="shared" si="51"/>
        <v/>
      </c>
      <c r="AR128" s="48" t="str">
        <f t="shared" si="52"/>
        <v/>
      </c>
      <c r="AS128" s="48" t="str">
        <f t="shared" si="53"/>
        <v/>
      </c>
      <c r="AT128" s="48" t="str">
        <f t="shared" si="54"/>
        <v/>
      </c>
      <c r="AU128" s="48" t="str">
        <f t="shared" si="55"/>
        <v/>
      </c>
      <c r="AV128" s="48" t="str">
        <f t="shared" si="56"/>
        <v/>
      </c>
      <c r="AW128" s="48" t="str">
        <f t="shared" si="57"/>
        <v/>
      </c>
      <c r="AX128" s="48" t="str">
        <f t="shared" si="58"/>
        <v/>
      </c>
      <c r="AY128" s="48" t="str">
        <f t="shared" si="59"/>
        <v/>
      </c>
      <c r="AZ128" s="48" t="str">
        <f t="shared" si="60"/>
        <v/>
      </c>
      <c r="BA128" s="48" t="str">
        <f t="shared" si="61"/>
        <v/>
      </c>
      <c r="BB128" s="48" t="str">
        <f t="shared" si="62"/>
        <v/>
      </c>
    </row>
    <row r="129" spans="1:54" x14ac:dyDescent="0.2">
      <c r="A129" s="30"/>
      <c r="B129" s="23"/>
      <c r="C129" s="23"/>
      <c r="D129" s="24"/>
      <c r="E129" s="24"/>
      <c r="F129" s="24"/>
      <c r="G129" s="24"/>
      <c r="H129" s="10" t="str">
        <f t="shared" si="33"/>
        <v/>
      </c>
      <c r="I129" s="10" t="str">
        <f t="shared" si="34"/>
        <v/>
      </c>
      <c r="J129" s="24"/>
      <c r="K129" s="13" t="str">
        <f t="shared" si="35"/>
        <v/>
      </c>
      <c r="L129" s="13" t="str">
        <f t="shared" si="36"/>
        <v/>
      </c>
      <c r="M129" s="25"/>
      <c r="N129" s="25"/>
      <c r="O129" s="22"/>
      <c r="P129" s="11" t="str">
        <f t="shared" si="37"/>
        <v/>
      </c>
      <c r="Q129" s="26"/>
      <c r="R129" s="22"/>
      <c r="S129" s="29" t="str">
        <f t="shared" si="38"/>
        <v/>
      </c>
      <c r="T129" s="12" t="str">
        <f t="shared" si="39"/>
        <v/>
      </c>
      <c r="U129" s="12" t="str">
        <f t="shared" si="40"/>
        <v/>
      </c>
      <c r="V129" s="12" t="str">
        <f>IF(AND($B129="",$C129=""),"",HLOOKUP(VLOOKUP($B$1,'Cidade-ER'!$A:$B,2,0),$AP$6:$BB129,ROW()-5,0))</f>
        <v/>
      </c>
      <c r="W129" s="12" t="str">
        <f t="shared" si="41"/>
        <v/>
      </c>
      <c r="X129" s="12" t="str">
        <f t="shared" si="42"/>
        <v/>
      </c>
      <c r="Y129" s="14" t="str">
        <f t="shared" si="43"/>
        <v/>
      </c>
      <c r="Z129" s="12" t="str">
        <f t="shared" si="44"/>
        <v/>
      </c>
      <c r="AA129" s="12" t="str">
        <f>IF(AND($B129="",$C129=""),"",(Sarjeta!$C$17^(5/3))*(Sarjeta!$C$16^(-2/3))*(ABS($K129)^0.5)/Sarjeta!$C$14*1000*2)</f>
        <v/>
      </c>
      <c r="AB129" s="12" t="str">
        <f>IF(AND($B129="",$C129=""),"",(Sarjeta!$C$17/Sarjeta!$C$16)^(2/3)*(ABS($K129)^0.5)/Sarjeta!$C$14)</f>
        <v/>
      </c>
      <c r="AC129" s="36" t="str">
        <f>IF(AND($B129="",$C129=""),"",IF(Z129&lt;AA129,0,MAX(ROUND(Z129/AA129,0)*2,ROUNDUP(ROUND(Z129/Sarjeta!$C$19,0)/2,0)*2)))</f>
        <v/>
      </c>
      <c r="AD129" s="26"/>
      <c r="AE129" s="27"/>
      <c r="AF129" s="32" t="str">
        <f>IF(OR($AE129="",AND($B129="",$C129="")),"",IF(ISERROR(VLOOKUP(AL129,Coeficientes!$A:$C,3,1)),0.05,VLOOKUP(AL129,Coeficientes!$A:$C,3,1)))</f>
        <v/>
      </c>
      <c r="AG129" s="12" t="str">
        <f t="shared" si="32"/>
        <v/>
      </c>
      <c r="AH129" s="30"/>
      <c r="AI129" s="31"/>
      <c r="AJ129" s="48" t="str">
        <f t="shared" si="45"/>
        <v/>
      </c>
      <c r="AK129" s="48" t="str">
        <f t="shared" si="46"/>
        <v/>
      </c>
      <c r="AL129" s="48" t="str">
        <f t="shared" si="47"/>
        <v/>
      </c>
      <c r="AM129" s="48" t="str">
        <f>IF(AND($B129="",$C129=""),"",VLOOKUP($AF129,Coeficientes!$C:$D,2,0))</f>
        <v/>
      </c>
      <c r="AN129" s="48" t="str">
        <f t="shared" si="48"/>
        <v/>
      </c>
      <c r="AO129" s="48" t="str">
        <f t="shared" si="49"/>
        <v/>
      </c>
      <c r="AP129" s="48" t="str">
        <f t="shared" si="50"/>
        <v/>
      </c>
      <c r="AQ129" s="48" t="str">
        <f t="shared" si="51"/>
        <v/>
      </c>
      <c r="AR129" s="48" t="str">
        <f t="shared" si="52"/>
        <v/>
      </c>
      <c r="AS129" s="48" t="str">
        <f t="shared" si="53"/>
        <v/>
      </c>
      <c r="AT129" s="48" t="str">
        <f t="shared" si="54"/>
        <v/>
      </c>
      <c r="AU129" s="48" t="str">
        <f t="shared" si="55"/>
        <v/>
      </c>
      <c r="AV129" s="48" t="str">
        <f t="shared" si="56"/>
        <v/>
      </c>
      <c r="AW129" s="48" t="str">
        <f t="shared" si="57"/>
        <v/>
      </c>
      <c r="AX129" s="48" t="str">
        <f t="shared" si="58"/>
        <v/>
      </c>
      <c r="AY129" s="48" t="str">
        <f t="shared" si="59"/>
        <v/>
      </c>
      <c r="AZ129" s="48" t="str">
        <f t="shared" si="60"/>
        <v/>
      </c>
      <c r="BA129" s="48" t="str">
        <f t="shared" si="61"/>
        <v/>
      </c>
      <c r="BB129" s="48" t="str">
        <f t="shared" si="62"/>
        <v/>
      </c>
    </row>
    <row r="130" spans="1:54" x14ac:dyDescent="0.2">
      <c r="A130" s="30"/>
      <c r="B130" s="23"/>
      <c r="C130" s="23"/>
      <c r="D130" s="24"/>
      <c r="E130" s="24"/>
      <c r="F130" s="24"/>
      <c r="G130" s="24"/>
      <c r="H130" s="10" t="str">
        <f t="shared" si="33"/>
        <v/>
      </c>
      <c r="I130" s="10" t="str">
        <f t="shared" si="34"/>
        <v/>
      </c>
      <c r="J130" s="24"/>
      <c r="K130" s="13" t="str">
        <f t="shared" si="35"/>
        <v/>
      </c>
      <c r="L130" s="13" t="str">
        <f t="shared" si="36"/>
        <v/>
      </c>
      <c r="M130" s="25"/>
      <c r="N130" s="25"/>
      <c r="O130" s="22"/>
      <c r="P130" s="11" t="str">
        <f t="shared" si="37"/>
        <v/>
      </c>
      <c r="Q130" s="26"/>
      <c r="R130" s="22"/>
      <c r="S130" s="29" t="str">
        <f t="shared" si="38"/>
        <v/>
      </c>
      <c r="T130" s="12" t="str">
        <f t="shared" si="39"/>
        <v/>
      </c>
      <c r="U130" s="12" t="str">
        <f t="shared" si="40"/>
        <v/>
      </c>
      <c r="V130" s="12" t="str">
        <f>IF(AND($B130="",$C130=""),"",HLOOKUP(VLOOKUP($B$1,'Cidade-ER'!$A:$B,2,0),$AP$6:$BB130,ROW()-5,0))</f>
        <v/>
      </c>
      <c r="W130" s="12" t="str">
        <f t="shared" si="41"/>
        <v/>
      </c>
      <c r="X130" s="12" t="str">
        <f t="shared" si="42"/>
        <v/>
      </c>
      <c r="Y130" s="14" t="str">
        <f t="shared" si="43"/>
        <v/>
      </c>
      <c r="Z130" s="12" t="str">
        <f t="shared" si="44"/>
        <v/>
      </c>
      <c r="AA130" s="12" t="str">
        <f>IF(AND($B130="",$C130=""),"",(Sarjeta!$C$17^(5/3))*(Sarjeta!$C$16^(-2/3))*(ABS($K130)^0.5)/Sarjeta!$C$14*1000*2)</f>
        <v/>
      </c>
      <c r="AB130" s="12" t="str">
        <f>IF(AND($B130="",$C130=""),"",(Sarjeta!$C$17/Sarjeta!$C$16)^(2/3)*(ABS($K130)^0.5)/Sarjeta!$C$14)</f>
        <v/>
      </c>
      <c r="AC130" s="36" t="str">
        <f>IF(AND($B130="",$C130=""),"",IF(Z130&lt;AA130,0,MAX(ROUND(Z130/AA130,0)*2,ROUNDUP(ROUND(Z130/Sarjeta!$C$19,0)/2,0)*2)))</f>
        <v/>
      </c>
      <c r="AD130" s="26"/>
      <c r="AE130" s="27"/>
      <c r="AF130" s="32" t="str">
        <f>IF(OR($AE130="",AND($B130="",$C130="")),"",IF(ISERROR(VLOOKUP(AL130,Coeficientes!$A:$C,3,1)),0.05,VLOOKUP(AL130,Coeficientes!$A:$C,3,1)))</f>
        <v/>
      </c>
      <c r="AG130" s="12" t="str">
        <f t="shared" si="32"/>
        <v/>
      </c>
      <c r="AH130" s="30"/>
      <c r="AI130" s="31"/>
      <c r="AJ130" s="48" t="str">
        <f t="shared" si="45"/>
        <v/>
      </c>
      <c r="AK130" s="48" t="str">
        <f t="shared" si="46"/>
        <v/>
      </c>
      <c r="AL130" s="48" t="str">
        <f t="shared" si="47"/>
        <v/>
      </c>
      <c r="AM130" s="48" t="str">
        <f>IF(AND($B130="",$C130=""),"",VLOOKUP($AF130,Coeficientes!$C:$D,2,0))</f>
        <v/>
      </c>
      <c r="AN130" s="48" t="str">
        <f t="shared" si="48"/>
        <v/>
      </c>
      <c r="AO130" s="48" t="str">
        <f t="shared" si="49"/>
        <v/>
      </c>
      <c r="AP130" s="48" t="str">
        <f t="shared" si="50"/>
        <v/>
      </c>
      <c r="AQ130" s="48" t="str">
        <f t="shared" si="51"/>
        <v/>
      </c>
      <c r="AR130" s="48" t="str">
        <f t="shared" si="52"/>
        <v/>
      </c>
      <c r="AS130" s="48" t="str">
        <f t="shared" si="53"/>
        <v/>
      </c>
      <c r="AT130" s="48" t="str">
        <f t="shared" si="54"/>
        <v/>
      </c>
      <c r="AU130" s="48" t="str">
        <f t="shared" si="55"/>
        <v/>
      </c>
      <c r="AV130" s="48" t="str">
        <f t="shared" si="56"/>
        <v/>
      </c>
      <c r="AW130" s="48" t="str">
        <f t="shared" si="57"/>
        <v/>
      </c>
      <c r="AX130" s="48" t="str">
        <f t="shared" si="58"/>
        <v/>
      </c>
      <c r="AY130" s="48" t="str">
        <f t="shared" si="59"/>
        <v/>
      </c>
      <c r="AZ130" s="48" t="str">
        <f t="shared" si="60"/>
        <v/>
      </c>
      <c r="BA130" s="48" t="str">
        <f t="shared" si="61"/>
        <v/>
      </c>
      <c r="BB130" s="48" t="str">
        <f t="shared" si="62"/>
        <v/>
      </c>
    </row>
    <row r="131" spans="1:54" x14ac:dyDescent="0.2">
      <c r="A131" s="30"/>
      <c r="B131" s="23"/>
      <c r="C131" s="23"/>
      <c r="D131" s="24"/>
      <c r="E131" s="24"/>
      <c r="F131" s="24"/>
      <c r="G131" s="24"/>
      <c r="H131" s="10" t="str">
        <f t="shared" si="33"/>
        <v/>
      </c>
      <c r="I131" s="10" t="str">
        <f t="shared" si="34"/>
        <v/>
      </c>
      <c r="J131" s="24"/>
      <c r="K131" s="13" t="str">
        <f t="shared" si="35"/>
        <v/>
      </c>
      <c r="L131" s="13" t="str">
        <f t="shared" si="36"/>
        <v/>
      </c>
      <c r="M131" s="25"/>
      <c r="N131" s="25"/>
      <c r="O131" s="22"/>
      <c r="P131" s="11" t="str">
        <f t="shared" si="37"/>
        <v/>
      </c>
      <c r="Q131" s="26"/>
      <c r="R131" s="22"/>
      <c r="S131" s="29" t="str">
        <f t="shared" si="38"/>
        <v/>
      </c>
      <c r="T131" s="12" t="str">
        <f t="shared" si="39"/>
        <v/>
      </c>
      <c r="U131" s="12" t="str">
        <f t="shared" si="40"/>
        <v/>
      </c>
      <c r="V131" s="12" t="str">
        <f>IF(AND($B131="",$C131=""),"",HLOOKUP(VLOOKUP($B$1,'Cidade-ER'!$A:$B,2,0),$AP$6:$BB131,ROW()-5,0))</f>
        <v/>
      </c>
      <c r="W131" s="12" t="str">
        <f t="shared" si="41"/>
        <v/>
      </c>
      <c r="X131" s="12" t="str">
        <f t="shared" si="42"/>
        <v/>
      </c>
      <c r="Y131" s="14" t="str">
        <f t="shared" si="43"/>
        <v/>
      </c>
      <c r="Z131" s="12" t="str">
        <f t="shared" si="44"/>
        <v/>
      </c>
      <c r="AA131" s="12" t="str">
        <f>IF(AND($B131="",$C131=""),"",(Sarjeta!$C$17^(5/3))*(Sarjeta!$C$16^(-2/3))*(ABS($K131)^0.5)/Sarjeta!$C$14*1000*2)</f>
        <v/>
      </c>
      <c r="AB131" s="12" t="str">
        <f>IF(AND($B131="",$C131=""),"",(Sarjeta!$C$17/Sarjeta!$C$16)^(2/3)*(ABS($K131)^0.5)/Sarjeta!$C$14)</f>
        <v/>
      </c>
      <c r="AC131" s="36" t="str">
        <f>IF(AND($B131="",$C131=""),"",IF(Z131&lt;AA131,0,MAX(ROUND(Z131/AA131,0)*2,ROUNDUP(ROUND(Z131/Sarjeta!$C$19,0)/2,0)*2)))</f>
        <v/>
      </c>
      <c r="AD131" s="26"/>
      <c r="AE131" s="27"/>
      <c r="AF131" s="32" t="str">
        <f>IF(OR($AE131="",AND($B131="",$C131="")),"",IF(ISERROR(VLOOKUP(AL131,Coeficientes!$A:$C,3,1)),0.05,VLOOKUP(AL131,Coeficientes!$A:$C,3,1)))</f>
        <v/>
      </c>
      <c r="AG131" s="12" t="str">
        <f t="shared" si="32"/>
        <v/>
      </c>
      <c r="AH131" s="30"/>
      <c r="AI131" s="31"/>
      <c r="AJ131" s="48" t="str">
        <f t="shared" si="45"/>
        <v/>
      </c>
      <c r="AK131" s="48" t="str">
        <f t="shared" si="46"/>
        <v/>
      </c>
      <c r="AL131" s="48" t="str">
        <f t="shared" si="47"/>
        <v/>
      </c>
      <c r="AM131" s="48" t="str">
        <f>IF(AND($B131="",$C131=""),"",VLOOKUP($AF131,Coeficientes!$C:$D,2,0))</f>
        <v/>
      </c>
      <c r="AN131" s="48" t="str">
        <f t="shared" si="48"/>
        <v/>
      </c>
      <c r="AO131" s="48" t="str">
        <f t="shared" si="49"/>
        <v/>
      </c>
      <c r="AP131" s="48" t="str">
        <f t="shared" si="50"/>
        <v/>
      </c>
      <c r="AQ131" s="48" t="str">
        <f t="shared" si="51"/>
        <v/>
      </c>
      <c r="AR131" s="48" t="str">
        <f t="shared" si="52"/>
        <v/>
      </c>
      <c r="AS131" s="48" t="str">
        <f t="shared" si="53"/>
        <v/>
      </c>
      <c r="AT131" s="48" t="str">
        <f t="shared" si="54"/>
        <v/>
      </c>
      <c r="AU131" s="48" t="str">
        <f t="shared" si="55"/>
        <v/>
      </c>
      <c r="AV131" s="48" t="str">
        <f t="shared" si="56"/>
        <v/>
      </c>
      <c r="AW131" s="48" t="str">
        <f t="shared" si="57"/>
        <v/>
      </c>
      <c r="AX131" s="48" t="str">
        <f t="shared" si="58"/>
        <v/>
      </c>
      <c r="AY131" s="48" t="str">
        <f t="shared" si="59"/>
        <v/>
      </c>
      <c r="AZ131" s="48" t="str">
        <f t="shared" si="60"/>
        <v/>
      </c>
      <c r="BA131" s="48" t="str">
        <f t="shared" si="61"/>
        <v/>
      </c>
      <c r="BB131" s="48" t="str">
        <f t="shared" si="62"/>
        <v/>
      </c>
    </row>
    <row r="132" spans="1:54" x14ac:dyDescent="0.2">
      <c r="A132" s="30"/>
      <c r="B132" s="23"/>
      <c r="C132" s="23"/>
      <c r="D132" s="24"/>
      <c r="E132" s="24"/>
      <c r="F132" s="24"/>
      <c r="G132" s="24"/>
      <c r="H132" s="10" t="str">
        <f t="shared" si="33"/>
        <v/>
      </c>
      <c r="I132" s="10" t="str">
        <f t="shared" si="34"/>
        <v/>
      </c>
      <c r="J132" s="24"/>
      <c r="K132" s="13" t="str">
        <f t="shared" si="35"/>
        <v/>
      </c>
      <c r="L132" s="13" t="str">
        <f t="shared" si="36"/>
        <v/>
      </c>
      <c r="M132" s="25"/>
      <c r="N132" s="25"/>
      <c r="O132" s="22"/>
      <c r="P132" s="11" t="str">
        <f t="shared" si="37"/>
        <v/>
      </c>
      <c r="Q132" s="26"/>
      <c r="R132" s="22"/>
      <c r="S132" s="29" t="str">
        <f t="shared" si="38"/>
        <v/>
      </c>
      <c r="T132" s="12" t="str">
        <f t="shared" si="39"/>
        <v/>
      </c>
      <c r="U132" s="12" t="str">
        <f t="shared" si="40"/>
        <v/>
      </c>
      <c r="V132" s="12" t="str">
        <f>IF(AND($B132="",$C132=""),"",HLOOKUP(VLOOKUP($B$1,'Cidade-ER'!$A:$B,2,0),$AP$6:$BB132,ROW()-5,0))</f>
        <v/>
      </c>
      <c r="W132" s="12" t="str">
        <f t="shared" si="41"/>
        <v/>
      </c>
      <c r="X132" s="12" t="str">
        <f t="shared" si="42"/>
        <v/>
      </c>
      <c r="Y132" s="14" t="str">
        <f t="shared" si="43"/>
        <v/>
      </c>
      <c r="Z132" s="12" t="str">
        <f t="shared" si="44"/>
        <v/>
      </c>
      <c r="AA132" s="12" t="str">
        <f>IF(AND($B132="",$C132=""),"",(Sarjeta!$C$17^(5/3))*(Sarjeta!$C$16^(-2/3))*(ABS($K132)^0.5)/Sarjeta!$C$14*1000*2)</f>
        <v/>
      </c>
      <c r="AB132" s="12" t="str">
        <f>IF(AND($B132="",$C132=""),"",(Sarjeta!$C$17/Sarjeta!$C$16)^(2/3)*(ABS($K132)^0.5)/Sarjeta!$C$14)</f>
        <v/>
      </c>
      <c r="AC132" s="36" t="str">
        <f>IF(AND($B132="",$C132=""),"",IF(Z132&lt;AA132,0,MAX(ROUND(Z132/AA132,0)*2,ROUNDUP(ROUND(Z132/Sarjeta!$C$19,0)/2,0)*2)))</f>
        <v/>
      </c>
      <c r="AD132" s="26"/>
      <c r="AE132" s="27"/>
      <c r="AF132" s="32" t="str">
        <f>IF(OR($AE132="",AND($B132="",$C132="")),"",IF(ISERROR(VLOOKUP(AL132,Coeficientes!$A:$C,3,1)),0.05,VLOOKUP(AL132,Coeficientes!$A:$C,3,1)))</f>
        <v/>
      </c>
      <c r="AG132" s="12" t="str">
        <f t="shared" si="32"/>
        <v/>
      </c>
      <c r="AH132" s="30"/>
      <c r="AI132" s="31"/>
      <c r="AJ132" s="48" t="str">
        <f t="shared" si="45"/>
        <v/>
      </c>
      <c r="AK132" s="48" t="str">
        <f t="shared" si="46"/>
        <v/>
      </c>
      <c r="AL132" s="48" t="str">
        <f t="shared" si="47"/>
        <v/>
      </c>
      <c r="AM132" s="48" t="str">
        <f>IF(AND($B132="",$C132=""),"",VLOOKUP($AF132,Coeficientes!$C:$D,2,0))</f>
        <v/>
      </c>
      <c r="AN132" s="48" t="str">
        <f t="shared" si="48"/>
        <v/>
      </c>
      <c r="AO132" s="48" t="str">
        <f t="shared" si="49"/>
        <v/>
      </c>
      <c r="AP132" s="48" t="str">
        <f t="shared" si="50"/>
        <v/>
      </c>
      <c r="AQ132" s="48" t="str">
        <f t="shared" si="51"/>
        <v/>
      </c>
      <c r="AR132" s="48" t="str">
        <f t="shared" si="52"/>
        <v/>
      </c>
      <c r="AS132" s="48" t="str">
        <f t="shared" si="53"/>
        <v/>
      </c>
      <c r="AT132" s="48" t="str">
        <f t="shared" si="54"/>
        <v/>
      </c>
      <c r="AU132" s="48" t="str">
        <f t="shared" si="55"/>
        <v/>
      </c>
      <c r="AV132" s="48" t="str">
        <f t="shared" si="56"/>
        <v/>
      </c>
      <c r="AW132" s="48" t="str">
        <f t="shared" si="57"/>
        <v/>
      </c>
      <c r="AX132" s="48" t="str">
        <f t="shared" si="58"/>
        <v/>
      </c>
      <c r="AY132" s="48" t="str">
        <f t="shared" si="59"/>
        <v/>
      </c>
      <c r="AZ132" s="48" t="str">
        <f t="shared" si="60"/>
        <v/>
      </c>
      <c r="BA132" s="48" t="str">
        <f t="shared" si="61"/>
        <v/>
      </c>
      <c r="BB132" s="48" t="str">
        <f t="shared" si="62"/>
        <v/>
      </c>
    </row>
    <row r="133" spans="1:54" x14ac:dyDescent="0.2">
      <c r="A133" s="30"/>
      <c r="B133" s="23"/>
      <c r="C133" s="23"/>
      <c r="D133" s="24"/>
      <c r="E133" s="24"/>
      <c r="F133" s="24"/>
      <c r="G133" s="24"/>
      <c r="H133" s="10" t="str">
        <f t="shared" si="33"/>
        <v/>
      </c>
      <c r="I133" s="10" t="str">
        <f t="shared" si="34"/>
        <v/>
      </c>
      <c r="J133" s="24"/>
      <c r="K133" s="13" t="str">
        <f t="shared" si="35"/>
        <v/>
      </c>
      <c r="L133" s="13" t="str">
        <f t="shared" si="36"/>
        <v/>
      </c>
      <c r="M133" s="25"/>
      <c r="N133" s="25"/>
      <c r="O133" s="22"/>
      <c r="P133" s="11" t="str">
        <f t="shared" si="37"/>
        <v/>
      </c>
      <c r="Q133" s="26"/>
      <c r="R133" s="22"/>
      <c r="S133" s="29" t="str">
        <f t="shared" si="38"/>
        <v/>
      </c>
      <c r="T133" s="12" t="str">
        <f t="shared" si="39"/>
        <v/>
      </c>
      <c r="U133" s="12" t="str">
        <f t="shared" si="40"/>
        <v/>
      </c>
      <c r="V133" s="12" t="str">
        <f>IF(AND($B133="",$C133=""),"",HLOOKUP(VLOOKUP($B$1,'Cidade-ER'!$A:$B,2,0),$AP$6:$BB133,ROW()-5,0))</f>
        <v/>
      </c>
      <c r="W133" s="12" t="str">
        <f t="shared" si="41"/>
        <v/>
      </c>
      <c r="X133" s="12" t="str">
        <f t="shared" si="42"/>
        <v/>
      </c>
      <c r="Y133" s="14" t="str">
        <f t="shared" si="43"/>
        <v/>
      </c>
      <c r="Z133" s="12" t="str">
        <f t="shared" si="44"/>
        <v/>
      </c>
      <c r="AA133" s="12" t="str">
        <f>IF(AND($B133="",$C133=""),"",(Sarjeta!$C$17^(5/3))*(Sarjeta!$C$16^(-2/3))*(ABS($K133)^0.5)/Sarjeta!$C$14*1000*2)</f>
        <v/>
      </c>
      <c r="AB133" s="12" t="str">
        <f>IF(AND($B133="",$C133=""),"",(Sarjeta!$C$17/Sarjeta!$C$16)^(2/3)*(ABS($K133)^0.5)/Sarjeta!$C$14)</f>
        <v/>
      </c>
      <c r="AC133" s="36" t="str">
        <f>IF(AND($B133="",$C133=""),"",IF(Z133&lt;AA133,0,MAX(ROUND(Z133/AA133,0)*2,ROUNDUP(ROUND(Z133/Sarjeta!$C$19,0)/2,0)*2)))</f>
        <v/>
      </c>
      <c r="AD133" s="26"/>
      <c r="AE133" s="27"/>
      <c r="AF133" s="32" t="str">
        <f>IF(OR($AE133="",AND($B133="",$C133="")),"",IF(ISERROR(VLOOKUP(AL133,Coeficientes!$A:$C,3,1)),0.05,VLOOKUP(AL133,Coeficientes!$A:$C,3,1)))</f>
        <v/>
      </c>
      <c r="AG133" s="12" t="str">
        <f t="shared" si="32"/>
        <v/>
      </c>
      <c r="AH133" s="30"/>
      <c r="AI133" s="31"/>
      <c r="AJ133" s="48" t="str">
        <f t="shared" si="45"/>
        <v/>
      </c>
      <c r="AK133" s="48" t="str">
        <f t="shared" si="46"/>
        <v/>
      </c>
      <c r="AL133" s="48" t="str">
        <f t="shared" si="47"/>
        <v/>
      </c>
      <c r="AM133" s="48" t="str">
        <f>IF(AND($B133="",$C133=""),"",VLOOKUP($AF133,Coeficientes!$C:$D,2,0))</f>
        <v/>
      </c>
      <c r="AN133" s="48" t="str">
        <f t="shared" si="48"/>
        <v/>
      </c>
      <c r="AO133" s="48" t="str">
        <f t="shared" si="49"/>
        <v/>
      </c>
      <c r="AP133" s="48" t="str">
        <f t="shared" si="50"/>
        <v/>
      </c>
      <c r="AQ133" s="48" t="str">
        <f t="shared" si="51"/>
        <v/>
      </c>
      <c r="AR133" s="48" t="str">
        <f t="shared" si="52"/>
        <v/>
      </c>
      <c r="AS133" s="48" t="str">
        <f t="shared" si="53"/>
        <v/>
      </c>
      <c r="AT133" s="48" t="str">
        <f t="shared" si="54"/>
        <v/>
      </c>
      <c r="AU133" s="48" t="str">
        <f t="shared" si="55"/>
        <v/>
      </c>
      <c r="AV133" s="48" t="str">
        <f t="shared" si="56"/>
        <v/>
      </c>
      <c r="AW133" s="48" t="str">
        <f t="shared" si="57"/>
        <v/>
      </c>
      <c r="AX133" s="48" t="str">
        <f t="shared" si="58"/>
        <v/>
      </c>
      <c r="AY133" s="48" t="str">
        <f t="shared" si="59"/>
        <v/>
      </c>
      <c r="AZ133" s="48" t="str">
        <f t="shared" si="60"/>
        <v/>
      </c>
      <c r="BA133" s="48" t="str">
        <f t="shared" si="61"/>
        <v/>
      </c>
      <c r="BB133" s="48" t="str">
        <f t="shared" si="62"/>
        <v/>
      </c>
    </row>
    <row r="134" spans="1:54" x14ac:dyDescent="0.2">
      <c r="A134" s="30"/>
      <c r="B134" s="23"/>
      <c r="C134" s="23"/>
      <c r="D134" s="24"/>
      <c r="E134" s="24"/>
      <c r="F134" s="24"/>
      <c r="G134" s="24"/>
      <c r="H134" s="10" t="str">
        <f t="shared" si="33"/>
        <v/>
      </c>
      <c r="I134" s="10" t="str">
        <f t="shared" si="34"/>
        <v/>
      </c>
      <c r="J134" s="24"/>
      <c r="K134" s="13" t="str">
        <f t="shared" si="35"/>
        <v/>
      </c>
      <c r="L134" s="13" t="str">
        <f t="shared" si="36"/>
        <v/>
      </c>
      <c r="M134" s="25"/>
      <c r="N134" s="25"/>
      <c r="O134" s="22"/>
      <c r="P134" s="11" t="str">
        <f t="shared" si="37"/>
        <v/>
      </c>
      <c r="Q134" s="26"/>
      <c r="R134" s="22"/>
      <c r="S134" s="29" t="str">
        <f t="shared" si="38"/>
        <v/>
      </c>
      <c r="T134" s="12" t="str">
        <f t="shared" si="39"/>
        <v/>
      </c>
      <c r="U134" s="12" t="str">
        <f t="shared" si="40"/>
        <v/>
      </c>
      <c r="V134" s="12" t="str">
        <f>IF(AND($B134="",$C134=""),"",HLOOKUP(VLOOKUP($B$1,'Cidade-ER'!$A:$B,2,0),$AP$6:$BB134,ROW()-5,0))</f>
        <v/>
      </c>
      <c r="W134" s="12" t="str">
        <f t="shared" si="41"/>
        <v/>
      </c>
      <c r="X134" s="12" t="str">
        <f t="shared" si="42"/>
        <v/>
      </c>
      <c r="Y134" s="14" t="str">
        <f t="shared" si="43"/>
        <v/>
      </c>
      <c r="Z134" s="12" t="str">
        <f t="shared" si="44"/>
        <v/>
      </c>
      <c r="AA134" s="12" t="str">
        <f>IF(AND($B134="",$C134=""),"",(Sarjeta!$C$17^(5/3))*(Sarjeta!$C$16^(-2/3))*(ABS($K134)^0.5)/Sarjeta!$C$14*1000*2)</f>
        <v/>
      </c>
      <c r="AB134" s="12" t="str">
        <f>IF(AND($B134="",$C134=""),"",(Sarjeta!$C$17/Sarjeta!$C$16)^(2/3)*(ABS($K134)^0.5)/Sarjeta!$C$14)</f>
        <v/>
      </c>
      <c r="AC134" s="36" t="str">
        <f>IF(AND($B134="",$C134=""),"",IF(Z134&lt;AA134,0,MAX(ROUND(Z134/AA134,0)*2,ROUNDUP(ROUND(Z134/Sarjeta!$C$19,0)/2,0)*2)))</f>
        <v/>
      </c>
      <c r="AD134" s="26"/>
      <c r="AE134" s="27"/>
      <c r="AF134" s="32" t="str">
        <f>IF(OR($AE134="",AND($B134="",$C134="")),"",IF(ISERROR(VLOOKUP(AL134,Coeficientes!$A:$C,3,1)),0.05,VLOOKUP(AL134,Coeficientes!$A:$C,3,1)))</f>
        <v/>
      </c>
      <c r="AG134" s="12" t="str">
        <f t="shared" si="32"/>
        <v/>
      </c>
      <c r="AH134" s="30"/>
      <c r="AI134" s="31"/>
      <c r="AJ134" s="48" t="str">
        <f t="shared" si="45"/>
        <v/>
      </c>
      <c r="AK134" s="48" t="str">
        <f t="shared" si="46"/>
        <v/>
      </c>
      <c r="AL134" s="48" t="str">
        <f t="shared" si="47"/>
        <v/>
      </c>
      <c r="AM134" s="48" t="str">
        <f>IF(AND($B134="",$C134=""),"",VLOOKUP($AF134,Coeficientes!$C:$D,2,0))</f>
        <v/>
      </c>
      <c r="AN134" s="48" t="str">
        <f t="shared" si="48"/>
        <v/>
      </c>
      <c r="AO134" s="48" t="str">
        <f t="shared" si="49"/>
        <v/>
      </c>
      <c r="AP134" s="48" t="str">
        <f t="shared" si="50"/>
        <v/>
      </c>
      <c r="AQ134" s="48" t="str">
        <f t="shared" si="51"/>
        <v/>
      </c>
      <c r="AR134" s="48" t="str">
        <f t="shared" si="52"/>
        <v/>
      </c>
      <c r="AS134" s="48" t="str">
        <f t="shared" si="53"/>
        <v/>
      </c>
      <c r="AT134" s="48" t="str">
        <f t="shared" si="54"/>
        <v/>
      </c>
      <c r="AU134" s="48" t="str">
        <f t="shared" si="55"/>
        <v/>
      </c>
      <c r="AV134" s="48" t="str">
        <f t="shared" si="56"/>
        <v/>
      </c>
      <c r="AW134" s="48" t="str">
        <f t="shared" si="57"/>
        <v/>
      </c>
      <c r="AX134" s="48" t="str">
        <f t="shared" si="58"/>
        <v/>
      </c>
      <c r="AY134" s="48" t="str">
        <f t="shared" si="59"/>
        <v/>
      </c>
      <c r="AZ134" s="48" t="str">
        <f t="shared" si="60"/>
        <v/>
      </c>
      <c r="BA134" s="48" t="str">
        <f t="shared" si="61"/>
        <v/>
      </c>
      <c r="BB134" s="48" t="str">
        <f t="shared" si="62"/>
        <v/>
      </c>
    </row>
    <row r="135" spans="1:54" x14ac:dyDescent="0.2">
      <c r="A135" s="30"/>
      <c r="B135" s="23"/>
      <c r="C135" s="23"/>
      <c r="D135" s="24"/>
      <c r="E135" s="24"/>
      <c r="F135" s="24"/>
      <c r="G135" s="24"/>
      <c r="H135" s="10" t="str">
        <f t="shared" si="33"/>
        <v/>
      </c>
      <c r="I135" s="10" t="str">
        <f t="shared" si="34"/>
        <v/>
      </c>
      <c r="J135" s="24"/>
      <c r="K135" s="13" t="str">
        <f t="shared" si="35"/>
        <v/>
      </c>
      <c r="L135" s="13" t="str">
        <f t="shared" si="36"/>
        <v/>
      </c>
      <c r="M135" s="25"/>
      <c r="N135" s="25"/>
      <c r="O135" s="22"/>
      <c r="P135" s="11" t="str">
        <f t="shared" si="37"/>
        <v/>
      </c>
      <c r="Q135" s="26"/>
      <c r="R135" s="22"/>
      <c r="S135" s="29" t="str">
        <f t="shared" si="38"/>
        <v/>
      </c>
      <c r="T135" s="12" t="str">
        <f t="shared" si="39"/>
        <v/>
      </c>
      <c r="U135" s="12" t="str">
        <f t="shared" si="40"/>
        <v/>
      </c>
      <c r="V135" s="12" t="str">
        <f>IF(AND($B135="",$C135=""),"",HLOOKUP(VLOOKUP($B$1,'Cidade-ER'!$A:$B,2,0),$AP$6:$BB135,ROW()-5,0))</f>
        <v/>
      </c>
      <c r="W135" s="12" t="str">
        <f t="shared" si="41"/>
        <v/>
      </c>
      <c r="X135" s="12" t="str">
        <f t="shared" si="42"/>
        <v/>
      </c>
      <c r="Y135" s="14" t="str">
        <f t="shared" si="43"/>
        <v/>
      </c>
      <c r="Z135" s="12" t="str">
        <f t="shared" si="44"/>
        <v/>
      </c>
      <c r="AA135" s="12" t="str">
        <f>IF(AND($B135="",$C135=""),"",(Sarjeta!$C$17^(5/3))*(Sarjeta!$C$16^(-2/3))*(ABS($K135)^0.5)/Sarjeta!$C$14*1000*2)</f>
        <v/>
      </c>
      <c r="AB135" s="12" t="str">
        <f>IF(AND($B135="",$C135=""),"",(Sarjeta!$C$17/Sarjeta!$C$16)^(2/3)*(ABS($K135)^0.5)/Sarjeta!$C$14)</f>
        <v/>
      </c>
      <c r="AC135" s="36" t="str">
        <f>IF(AND($B135="",$C135=""),"",IF(Z135&lt;AA135,0,MAX(ROUND(Z135/AA135,0)*2,ROUNDUP(ROUND(Z135/Sarjeta!$C$19,0)/2,0)*2)))</f>
        <v/>
      </c>
      <c r="AD135" s="26"/>
      <c r="AE135" s="27"/>
      <c r="AF135" s="32" t="str">
        <f>IF(OR($AE135="",AND($B135="",$C135="")),"",IF(ISERROR(VLOOKUP(AL135,Coeficientes!$A:$C,3,1)),0.05,VLOOKUP(AL135,Coeficientes!$A:$C,3,1)))</f>
        <v/>
      </c>
      <c r="AG135" s="12" t="str">
        <f t="shared" si="32"/>
        <v/>
      </c>
      <c r="AH135" s="30"/>
      <c r="AI135" s="31"/>
      <c r="AJ135" s="48" t="str">
        <f t="shared" si="45"/>
        <v/>
      </c>
      <c r="AK135" s="48" t="str">
        <f t="shared" si="46"/>
        <v/>
      </c>
      <c r="AL135" s="48" t="str">
        <f t="shared" si="47"/>
        <v/>
      </c>
      <c r="AM135" s="48" t="str">
        <f>IF(AND($B135="",$C135=""),"",VLOOKUP($AF135,Coeficientes!$C:$D,2,0))</f>
        <v/>
      </c>
      <c r="AN135" s="48" t="str">
        <f t="shared" si="48"/>
        <v/>
      </c>
      <c r="AO135" s="48" t="str">
        <f t="shared" si="49"/>
        <v/>
      </c>
      <c r="AP135" s="48" t="str">
        <f t="shared" si="50"/>
        <v/>
      </c>
      <c r="AQ135" s="48" t="str">
        <f t="shared" si="51"/>
        <v/>
      </c>
      <c r="AR135" s="48" t="str">
        <f t="shared" si="52"/>
        <v/>
      </c>
      <c r="AS135" s="48" t="str">
        <f t="shared" si="53"/>
        <v/>
      </c>
      <c r="AT135" s="48" t="str">
        <f t="shared" si="54"/>
        <v/>
      </c>
      <c r="AU135" s="48" t="str">
        <f t="shared" si="55"/>
        <v/>
      </c>
      <c r="AV135" s="48" t="str">
        <f t="shared" si="56"/>
        <v/>
      </c>
      <c r="AW135" s="48" t="str">
        <f t="shared" si="57"/>
        <v/>
      </c>
      <c r="AX135" s="48" t="str">
        <f t="shared" si="58"/>
        <v/>
      </c>
      <c r="AY135" s="48" t="str">
        <f t="shared" si="59"/>
        <v/>
      </c>
      <c r="AZ135" s="48" t="str">
        <f t="shared" si="60"/>
        <v/>
      </c>
      <c r="BA135" s="48" t="str">
        <f t="shared" si="61"/>
        <v/>
      </c>
      <c r="BB135" s="48" t="str">
        <f t="shared" si="62"/>
        <v/>
      </c>
    </row>
    <row r="136" spans="1:54" x14ac:dyDescent="0.2">
      <c r="A136" s="30"/>
      <c r="B136" s="23"/>
      <c r="C136" s="23"/>
      <c r="D136" s="24"/>
      <c r="E136" s="24"/>
      <c r="F136" s="24"/>
      <c r="G136" s="24"/>
      <c r="H136" s="10" t="str">
        <f t="shared" si="33"/>
        <v/>
      </c>
      <c r="I136" s="10" t="str">
        <f t="shared" si="34"/>
        <v/>
      </c>
      <c r="J136" s="24"/>
      <c r="K136" s="13" t="str">
        <f t="shared" si="35"/>
        <v/>
      </c>
      <c r="L136" s="13" t="str">
        <f t="shared" si="36"/>
        <v/>
      </c>
      <c r="M136" s="25"/>
      <c r="N136" s="25"/>
      <c r="O136" s="22"/>
      <c r="P136" s="11" t="str">
        <f t="shared" si="37"/>
        <v/>
      </c>
      <c r="Q136" s="26"/>
      <c r="R136" s="22"/>
      <c r="S136" s="29" t="str">
        <f t="shared" si="38"/>
        <v/>
      </c>
      <c r="T136" s="12" t="str">
        <f t="shared" si="39"/>
        <v/>
      </c>
      <c r="U136" s="12" t="str">
        <f t="shared" si="40"/>
        <v/>
      </c>
      <c r="V136" s="12" t="str">
        <f>IF(AND($B136="",$C136=""),"",HLOOKUP(VLOOKUP($B$1,'Cidade-ER'!$A:$B,2,0),$AP$6:$BB136,ROW()-5,0))</f>
        <v/>
      </c>
      <c r="W136" s="12" t="str">
        <f t="shared" si="41"/>
        <v/>
      </c>
      <c r="X136" s="12" t="str">
        <f t="shared" si="42"/>
        <v/>
      </c>
      <c r="Y136" s="14" t="str">
        <f t="shared" si="43"/>
        <v/>
      </c>
      <c r="Z136" s="12" t="str">
        <f t="shared" si="44"/>
        <v/>
      </c>
      <c r="AA136" s="12" t="str">
        <f>IF(AND($B136="",$C136=""),"",(Sarjeta!$C$17^(5/3))*(Sarjeta!$C$16^(-2/3))*(ABS($K136)^0.5)/Sarjeta!$C$14*1000*2)</f>
        <v/>
      </c>
      <c r="AB136" s="12" t="str">
        <f>IF(AND($B136="",$C136=""),"",(Sarjeta!$C$17/Sarjeta!$C$16)^(2/3)*(ABS($K136)^0.5)/Sarjeta!$C$14)</f>
        <v/>
      </c>
      <c r="AC136" s="36" t="str">
        <f>IF(AND($B136="",$C136=""),"",IF(Z136&lt;AA136,0,MAX(ROUND(Z136/AA136,0)*2,ROUNDUP(ROUND(Z136/Sarjeta!$C$19,0)/2,0)*2)))</f>
        <v/>
      </c>
      <c r="AD136" s="26"/>
      <c r="AE136" s="27"/>
      <c r="AF136" s="32" t="str">
        <f>IF(OR($AE136="",AND($B136="",$C136="")),"",IF(ISERROR(VLOOKUP(AL136,Coeficientes!$A:$C,3,1)),0.05,VLOOKUP(AL136,Coeficientes!$A:$C,3,1)))</f>
        <v/>
      </c>
      <c r="AG136" s="12" t="str">
        <f t="shared" si="32"/>
        <v/>
      </c>
      <c r="AH136" s="30"/>
      <c r="AI136" s="31"/>
      <c r="AJ136" s="48" t="str">
        <f t="shared" si="45"/>
        <v/>
      </c>
      <c r="AK136" s="48" t="str">
        <f t="shared" si="46"/>
        <v/>
      </c>
      <c r="AL136" s="48" t="str">
        <f t="shared" si="47"/>
        <v/>
      </c>
      <c r="AM136" s="48" t="str">
        <f>IF(AND($B136="",$C136=""),"",VLOOKUP($AF136,Coeficientes!$C:$D,2,0))</f>
        <v/>
      </c>
      <c r="AN136" s="48" t="str">
        <f t="shared" si="48"/>
        <v/>
      </c>
      <c r="AO136" s="48" t="str">
        <f t="shared" si="49"/>
        <v/>
      </c>
      <c r="AP136" s="48" t="str">
        <f t="shared" si="50"/>
        <v/>
      </c>
      <c r="AQ136" s="48" t="str">
        <f t="shared" si="51"/>
        <v/>
      </c>
      <c r="AR136" s="48" t="str">
        <f t="shared" si="52"/>
        <v/>
      </c>
      <c r="AS136" s="48" t="str">
        <f t="shared" si="53"/>
        <v/>
      </c>
      <c r="AT136" s="48" t="str">
        <f t="shared" si="54"/>
        <v/>
      </c>
      <c r="AU136" s="48" t="str">
        <f t="shared" si="55"/>
        <v/>
      </c>
      <c r="AV136" s="48" t="str">
        <f t="shared" si="56"/>
        <v/>
      </c>
      <c r="AW136" s="48" t="str">
        <f t="shared" si="57"/>
        <v/>
      </c>
      <c r="AX136" s="48" t="str">
        <f t="shared" si="58"/>
        <v/>
      </c>
      <c r="AY136" s="48" t="str">
        <f t="shared" si="59"/>
        <v/>
      </c>
      <c r="AZ136" s="48" t="str">
        <f t="shared" si="60"/>
        <v/>
      </c>
      <c r="BA136" s="48" t="str">
        <f t="shared" si="61"/>
        <v/>
      </c>
      <c r="BB136" s="48" t="str">
        <f t="shared" si="62"/>
        <v/>
      </c>
    </row>
    <row r="137" spans="1:54" x14ac:dyDescent="0.2">
      <c r="A137" s="30"/>
      <c r="B137" s="23"/>
      <c r="C137" s="23"/>
      <c r="D137" s="24"/>
      <c r="E137" s="24"/>
      <c r="F137" s="24"/>
      <c r="G137" s="24"/>
      <c r="H137" s="10" t="str">
        <f t="shared" si="33"/>
        <v/>
      </c>
      <c r="I137" s="10" t="str">
        <f t="shared" si="34"/>
        <v/>
      </c>
      <c r="J137" s="24"/>
      <c r="K137" s="13" t="str">
        <f t="shared" si="35"/>
        <v/>
      </c>
      <c r="L137" s="13" t="str">
        <f t="shared" si="36"/>
        <v/>
      </c>
      <c r="M137" s="25"/>
      <c r="N137" s="25"/>
      <c r="O137" s="22"/>
      <c r="P137" s="11" t="str">
        <f t="shared" si="37"/>
        <v/>
      </c>
      <c r="Q137" s="26"/>
      <c r="R137" s="22"/>
      <c r="S137" s="29" t="str">
        <f t="shared" si="38"/>
        <v/>
      </c>
      <c r="T137" s="12" t="str">
        <f t="shared" si="39"/>
        <v/>
      </c>
      <c r="U137" s="12" t="str">
        <f t="shared" si="40"/>
        <v/>
      </c>
      <c r="V137" s="12" t="str">
        <f>IF(AND($B137="",$C137=""),"",HLOOKUP(VLOOKUP($B$1,'Cidade-ER'!$A:$B,2,0),$AP$6:$BB137,ROW()-5,0))</f>
        <v/>
      </c>
      <c r="W137" s="12" t="str">
        <f t="shared" si="41"/>
        <v/>
      </c>
      <c r="X137" s="12" t="str">
        <f t="shared" si="42"/>
        <v/>
      </c>
      <c r="Y137" s="14" t="str">
        <f t="shared" si="43"/>
        <v/>
      </c>
      <c r="Z137" s="12" t="str">
        <f t="shared" si="44"/>
        <v/>
      </c>
      <c r="AA137" s="12" t="str">
        <f>IF(AND($B137="",$C137=""),"",(Sarjeta!$C$17^(5/3))*(Sarjeta!$C$16^(-2/3))*(ABS($K137)^0.5)/Sarjeta!$C$14*1000*2)</f>
        <v/>
      </c>
      <c r="AB137" s="12" t="str">
        <f>IF(AND($B137="",$C137=""),"",(Sarjeta!$C$17/Sarjeta!$C$16)^(2/3)*(ABS($K137)^0.5)/Sarjeta!$C$14)</f>
        <v/>
      </c>
      <c r="AC137" s="36" t="str">
        <f>IF(AND($B137="",$C137=""),"",IF(Z137&lt;AA137,0,MAX(ROUND(Z137/AA137,0)*2,ROUNDUP(ROUND(Z137/Sarjeta!$C$19,0)/2,0)*2)))</f>
        <v/>
      </c>
      <c r="AD137" s="26"/>
      <c r="AE137" s="27"/>
      <c r="AF137" s="32" t="str">
        <f>IF(OR($AE137="",AND($B137="",$C137="")),"",IF(ISERROR(VLOOKUP(AL137,Coeficientes!$A:$C,3,1)),0.05,VLOOKUP(AL137,Coeficientes!$A:$C,3,1)))</f>
        <v/>
      </c>
      <c r="AG137" s="12" t="str">
        <f t="shared" ref="AG137:AG150" si="63">IF(OR(AE137="",AND($B137="",$C137="")),"",(Y137/AD137/1000)/(AM137*AE137^2))</f>
        <v/>
      </c>
      <c r="AH137" s="30"/>
      <c r="AI137" s="31"/>
      <c r="AJ137" s="48" t="str">
        <f t="shared" si="45"/>
        <v/>
      </c>
      <c r="AK137" s="48" t="str">
        <f t="shared" si="46"/>
        <v/>
      </c>
      <c r="AL137" s="48" t="str">
        <f t="shared" si="47"/>
        <v/>
      </c>
      <c r="AM137" s="48" t="str">
        <f>IF(AND($B137="",$C137=""),"",VLOOKUP($AF137,Coeficientes!$C:$D,2,0))</f>
        <v/>
      </c>
      <c r="AN137" s="48" t="str">
        <f t="shared" si="48"/>
        <v/>
      </c>
      <c r="AO137" s="48" t="str">
        <f t="shared" si="49"/>
        <v/>
      </c>
      <c r="AP137" s="48" t="str">
        <f t="shared" si="50"/>
        <v/>
      </c>
      <c r="AQ137" s="48" t="str">
        <f t="shared" si="51"/>
        <v/>
      </c>
      <c r="AR137" s="48" t="str">
        <f t="shared" si="52"/>
        <v/>
      </c>
      <c r="AS137" s="48" t="str">
        <f t="shared" si="53"/>
        <v/>
      </c>
      <c r="AT137" s="48" t="str">
        <f t="shared" si="54"/>
        <v/>
      </c>
      <c r="AU137" s="48" t="str">
        <f t="shared" si="55"/>
        <v/>
      </c>
      <c r="AV137" s="48" t="str">
        <f t="shared" si="56"/>
        <v/>
      </c>
      <c r="AW137" s="48" t="str">
        <f t="shared" si="57"/>
        <v/>
      </c>
      <c r="AX137" s="48" t="str">
        <f t="shared" si="58"/>
        <v/>
      </c>
      <c r="AY137" s="48" t="str">
        <f t="shared" si="59"/>
        <v/>
      </c>
      <c r="AZ137" s="48" t="str">
        <f t="shared" si="60"/>
        <v/>
      </c>
      <c r="BA137" s="48" t="str">
        <f t="shared" si="61"/>
        <v/>
      </c>
      <c r="BB137" s="48" t="str">
        <f t="shared" si="62"/>
        <v/>
      </c>
    </row>
    <row r="138" spans="1:54" x14ac:dyDescent="0.2">
      <c r="A138" s="30"/>
      <c r="B138" s="23"/>
      <c r="C138" s="23"/>
      <c r="D138" s="24"/>
      <c r="E138" s="24"/>
      <c r="F138" s="24"/>
      <c r="G138" s="24"/>
      <c r="H138" s="10" t="str">
        <f t="shared" ref="H138:H150" si="64">IF(AND($B138="",$C138=""),"",D138-F138-$AE138)</f>
        <v/>
      </c>
      <c r="I138" s="10" t="str">
        <f t="shared" ref="I138:I150" si="65">IF(AND($B138="",$C138=""),"",E138-G138-$AE138)</f>
        <v/>
      </c>
      <c r="J138" s="24"/>
      <c r="K138" s="13" t="str">
        <f t="shared" ref="K138:K150" si="66">IF(AND($B138="",$C138=""),"",(D138-E138)/J138)</f>
        <v/>
      </c>
      <c r="L138" s="13" t="str">
        <f t="shared" ref="L138:L150" si="67">IF(AND($B138="",$C138=""),"",(H138-I138)/J138)</f>
        <v/>
      </c>
      <c r="M138" s="25"/>
      <c r="N138" s="25"/>
      <c r="O138" s="22"/>
      <c r="P138" s="11" t="str">
        <f t="shared" ref="P138:P150" si="68">IF(AND($B138="",$C138=""),"",M138-N138)</f>
        <v/>
      </c>
      <c r="Q138" s="26"/>
      <c r="R138" s="22"/>
      <c r="S138" s="29" t="str">
        <f t="shared" ref="S138:S150" si="69">IF(AND($B138="",$C138=""),"",IF(OR(ISTEXT(S137),S137=""),Q138/10000,Q138/10000+S137))</f>
        <v/>
      </c>
      <c r="T138" s="12" t="str">
        <f t="shared" ref="T138:T150" si="70">IF(AND($B138="",$C138=""),"",IF((Q138/10000)&lt;1,1,(Q138/10000)^(-0.15)))</f>
        <v/>
      </c>
      <c r="U138" s="12" t="str">
        <f t="shared" ref="U138:U150" si="71">IF(AND($B138="",$C138=""),"",IF(57*(O138^3/P138)^0.385&lt;10,10,57*(O138^3/P138)^0.385))</f>
        <v/>
      </c>
      <c r="V138" s="12" t="str">
        <f>IF(AND($B138="",$C138=""),"",HLOOKUP(VLOOKUP($B$1,'Cidade-ER'!$A:$B,2,0),$AP$6:$BB138,ROW()-5,0))</f>
        <v/>
      </c>
      <c r="W138" s="12" t="str">
        <f t="shared" ref="W138:W150" si="72">IF(AND($B138="",$C138=""),"",0.0725*R138*(V138*U138)^(1/3))</f>
        <v/>
      </c>
      <c r="X138" s="12" t="str">
        <f t="shared" ref="X138:X150" si="73">IF(AND($B138="",$C138=""),"",(Q138/10000)*T138*V138*W138*2.778)</f>
        <v/>
      </c>
      <c r="Y138" s="14" t="str">
        <f t="shared" ref="Y138:Y150" si="74">IF(AND($B138="",$C138=""),"",IF(OR(ISTEXT(Y137),Y137=""),X138,X138+Y137))</f>
        <v/>
      </c>
      <c r="Z138" s="12" t="str">
        <f t="shared" ref="Z138:Z150" si="75">IF(AND($B138="",$C138=""),"",IF(AC137=0,X138+Z137,X138))</f>
        <v/>
      </c>
      <c r="AA138" s="12" t="str">
        <f>IF(AND($B138="",$C138=""),"",(Sarjeta!$C$17^(5/3))*(Sarjeta!$C$16^(-2/3))*(ABS($K138)^0.5)/Sarjeta!$C$14*1000*2)</f>
        <v/>
      </c>
      <c r="AB138" s="12" t="str">
        <f>IF(AND($B138="",$C138=""),"",(Sarjeta!$C$17/Sarjeta!$C$16)^(2/3)*(ABS($K138)^0.5)/Sarjeta!$C$14)</f>
        <v/>
      </c>
      <c r="AC138" s="36" t="str">
        <f>IF(AND($B138="",$C138=""),"",IF(Z138&lt;AA138,0,MAX(ROUND(Z138/AA138,0)*2,ROUNDUP(ROUND(Z138/Sarjeta!$C$19,0)/2,0)*2)))</f>
        <v/>
      </c>
      <c r="AD138" s="26"/>
      <c r="AE138" s="27"/>
      <c r="AF138" s="32" t="str">
        <f>IF(OR($AE138="",AND($B138="",$C138="")),"",IF(ISERROR(VLOOKUP(AL138,Coeficientes!$A:$C,3,1)),0.05,VLOOKUP(AL138,Coeficientes!$A:$C,3,1)))</f>
        <v/>
      </c>
      <c r="AG138" s="12" t="str">
        <f t="shared" si="63"/>
        <v/>
      </c>
      <c r="AH138" s="30"/>
      <c r="AI138" s="31"/>
      <c r="AJ138" s="48" t="str">
        <f t="shared" ref="AJ138:AJ150" si="76">IF(AND($B138="",$C138=""),"",(Y138/AD138/1000)/L138^0.5)</f>
        <v/>
      </c>
      <c r="AK138" s="48" t="str">
        <f t="shared" ref="AK138:AK150" si="77">IF(AND($B138="",$C138=""),"",AN138/(AE138^2.5))</f>
        <v/>
      </c>
      <c r="AL138" s="48" t="str">
        <f t="shared" ref="AL138:AL150" si="78">IF(AND($B138="",$C138=""),"",AJ138/(AE138^(8/3)/0.015))</f>
        <v/>
      </c>
      <c r="AM138" s="48" t="str">
        <f>IF(AND($B138="",$C138=""),"",VLOOKUP($AF138,Coeficientes!$C:$D,2,0))</f>
        <v/>
      </c>
      <c r="AN138" s="48" t="str">
        <f t="shared" ref="AN138:AN150" si="79">IF(AND($B138="",$C138=""),"",((Y138/AD138/1000)/(9.80665^0.5)))</f>
        <v/>
      </c>
      <c r="AO138" s="48" t="str">
        <f t="shared" ref="AO138:AO150" si="80">IF(AND($B138="",$C138=""),"",IF(AF138="Menor","",AL138*AE138))</f>
        <v/>
      </c>
      <c r="AP138" s="48" t="str">
        <f t="shared" ref="AP138:AP150" si="81">IF(AND($B138="",$C138=""),"",(1301.07*10^0.177)/($U138+15)^0.836)</f>
        <v/>
      </c>
      <c r="AQ138" s="48" t="str">
        <f t="shared" ref="AQ138:AQ150" si="82">IF(AND($B138="",$C138=""),"",(2778.43*10^0.149)/($U138+24)^0.94)</f>
        <v/>
      </c>
      <c r="AR138" s="48" t="str">
        <f t="shared" ref="AR138:AR150" si="83">IF(AND($B138="",$C138=""),"",(1062.92*10^0.141)/($U138+5)^0.776)</f>
        <v/>
      </c>
      <c r="AS138" s="48" t="str">
        <f t="shared" ref="AS138:AS150" si="84">IF(AND($B138="",$C138=""),"",(3132.56*10^0.093)/($U138+30)^0.939)</f>
        <v/>
      </c>
      <c r="AT138" s="48" t="str">
        <f t="shared" ref="AT138:AT150" si="85">IF(AND($B138="",$C138=""),"",(5726.64*10^0.159)/($U138+41)^1.041)</f>
        <v/>
      </c>
      <c r="AU138" s="48" t="str">
        <f t="shared" ref="AU138:AU150" si="86">IF(AND($B138="",$C138=""),"",(1012.28*10^0.182)/($U138+9)^0.76)</f>
        <v/>
      </c>
      <c r="AV138" s="48" t="str">
        <f t="shared" ref="AV138:AV150" si="87">IF(AND($B138="",$C138=""),"",(1039.68*10^0.171)/($U138+10)^0.799)</f>
        <v/>
      </c>
      <c r="AW138" s="48" t="str">
        <f t="shared" ref="AW138:AW150" si="88">IF(AND($B138="",$C138=""),"",(3132.56*10^0.093)/($U138+30)^0.939)</f>
        <v/>
      </c>
      <c r="AX138" s="48" t="str">
        <f t="shared" ref="AX138:AX150" si="89">IF(AND($B138="",$C138=""),"",(2115.81*10^0.145)/($U138+22)^0.849)</f>
        <v/>
      </c>
      <c r="AY138" s="48" t="str">
        <f t="shared" ref="AY138:AY150" si="90">IF(AND($B138="",$C138=""),"",(2808.67*10^0.104)/($U138+33)^0.93)</f>
        <v/>
      </c>
      <c r="AZ138" s="48" t="str">
        <f t="shared" ref="AZ138:AZ150" si="91">IF(AND($B138="",$C138=""),"",(1902.39*10^0.152)/($U138+21)^0.893)</f>
        <v/>
      </c>
      <c r="BA138" s="48" t="str">
        <f t="shared" ref="BA138:BA150" si="92">IF(AND($B138="",$C138=""),"",(1752.27*10^0.148)/($U138+17)^0.84)</f>
        <v/>
      </c>
      <c r="BB138" s="48" t="str">
        <f t="shared" ref="BB138:BB150" si="93">IF(AND($B138="",$C138=""),"",(1039.68*10^0.171)/($U138+10)^0.799)</f>
        <v/>
      </c>
    </row>
    <row r="139" spans="1:54" x14ac:dyDescent="0.2">
      <c r="A139" s="30"/>
      <c r="B139" s="23"/>
      <c r="C139" s="23"/>
      <c r="D139" s="24"/>
      <c r="E139" s="24"/>
      <c r="F139" s="24"/>
      <c r="G139" s="24"/>
      <c r="H139" s="10" t="str">
        <f t="shared" si="64"/>
        <v/>
      </c>
      <c r="I139" s="10" t="str">
        <f t="shared" si="65"/>
        <v/>
      </c>
      <c r="J139" s="24"/>
      <c r="K139" s="13" t="str">
        <f t="shared" si="66"/>
        <v/>
      </c>
      <c r="L139" s="13" t="str">
        <f t="shared" si="67"/>
        <v/>
      </c>
      <c r="M139" s="25"/>
      <c r="N139" s="25"/>
      <c r="O139" s="22"/>
      <c r="P139" s="11" t="str">
        <f t="shared" si="68"/>
        <v/>
      </c>
      <c r="Q139" s="26"/>
      <c r="R139" s="22"/>
      <c r="S139" s="29" t="str">
        <f t="shared" si="69"/>
        <v/>
      </c>
      <c r="T139" s="12" t="str">
        <f t="shared" si="70"/>
        <v/>
      </c>
      <c r="U139" s="12" t="str">
        <f t="shared" si="71"/>
        <v/>
      </c>
      <c r="V139" s="12" t="str">
        <f>IF(AND($B139="",$C139=""),"",HLOOKUP(VLOOKUP($B$1,'Cidade-ER'!$A:$B,2,0),$AP$6:$BB139,ROW()-5,0))</f>
        <v/>
      </c>
      <c r="W139" s="12" t="str">
        <f t="shared" si="72"/>
        <v/>
      </c>
      <c r="X139" s="12" t="str">
        <f t="shared" si="73"/>
        <v/>
      </c>
      <c r="Y139" s="14" t="str">
        <f t="shared" si="74"/>
        <v/>
      </c>
      <c r="Z139" s="12" t="str">
        <f t="shared" si="75"/>
        <v/>
      </c>
      <c r="AA139" s="12" t="str">
        <f>IF(AND($B139="",$C139=""),"",(Sarjeta!$C$17^(5/3))*(Sarjeta!$C$16^(-2/3))*(ABS($K139)^0.5)/Sarjeta!$C$14*1000*2)</f>
        <v/>
      </c>
      <c r="AB139" s="12" t="str">
        <f>IF(AND($B139="",$C139=""),"",(Sarjeta!$C$17/Sarjeta!$C$16)^(2/3)*(ABS($K139)^0.5)/Sarjeta!$C$14)</f>
        <v/>
      </c>
      <c r="AC139" s="36" t="str">
        <f>IF(AND($B139="",$C139=""),"",IF(Z139&lt;AA139,0,MAX(ROUND(Z139/AA139,0)*2,ROUNDUP(ROUND(Z139/Sarjeta!$C$19,0)/2,0)*2)))</f>
        <v/>
      </c>
      <c r="AD139" s="26"/>
      <c r="AE139" s="27"/>
      <c r="AF139" s="32" t="str">
        <f>IF(OR($AE139="",AND($B139="",$C139="")),"",IF(ISERROR(VLOOKUP(AL139,Coeficientes!$A:$C,3,1)),0.05,VLOOKUP(AL139,Coeficientes!$A:$C,3,1)))</f>
        <v/>
      </c>
      <c r="AG139" s="12" t="str">
        <f t="shared" si="63"/>
        <v/>
      </c>
      <c r="AH139" s="30"/>
      <c r="AI139" s="31"/>
      <c r="AJ139" s="48" t="str">
        <f t="shared" si="76"/>
        <v/>
      </c>
      <c r="AK139" s="48" t="str">
        <f t="shared" si="77"/>
        <v/>
      </c>
      <c r="AL139" s="48" t="str">
        <f t="shared" si="78"/>
        <v/>
      </c>
      <c r="AM139" s="48" t="str">
        <f>IF(AND($B139="",$C139=""),"",VLOOKUP($AF139,Coeficientes!$C:$D,2,0))</f>
        <v/>
      </c>
      <c r="AN139" s="48" t="str">
        <f t="shared" si="79"/>
        <v/>
      </c>
      <c r="AO139" s="48" t="str">
        <f t="shared" si="80"/>
        <v/>
      </c>
      <c r="AP139" s="48" t="str">
        <f t="shared" si="81"/>
        <v/>
      </c>
      <c r="AQ139" s="48" t="str">
        <f t="shared" si="82"/>
        <v/>
      </c>
      <c r="AR139" s="48" t="str">
        <f t="shared" si="83"/>
        <v/>
      </c>
      <c r="AS139" s="48" t="str">
        <f t="shared" si="84"/>
        <v/>
      </c>
      <c r="AT139" s="48" t="str">
        <f t="shared" si="85"/>
        <v/>
      </c>
      <c r="AU139" s="48" t="str">
        <f t="shared" si="86"/>
        <v/>
      </c>
      <c r="AV139" s="48" t="str">
        <f t="shared" si="87"/>
        <v/>
      </c>
      <c r="AW139" s="48" t="str">
        <f t="shared" si="88"/>
        <v/>
      </c>
      <c r="AX139" s="48" t="str">
        <f t="shared" si="89"/>
        <v/>
      </c>
      <c r="AY139" s="48" t="str">
        <f t="shared" si="90"/>
        <v/>
      </c>
      <c r="AZ139" s="48" t="str">
        <f t="shared" si="91"/>
        <v/>
      </c>
      <c r="BA139" s="48" t="str">
        <f t="shared" si="92"/>
        <v/>
      </c>
      <c r="BB139" s="48" t="str">
        <f t="shared" si="93"/>
        <v/>
      </c>
    </row>
    <row r="140" spans="1:54" x14ac:dyDescent="0.2">
      <c r="A140" s="30"/>
      <c r="B140" s="23"/>
      <c r="C140" s="23"/>
      <c r="D140" s="24"/>
      <c r="E140" s="24"/>
      <c r="F140" s="24"/>
      <c r="G140" s="24"/>
      <c r="H140" s="10" t="str">
        <f t="shared" si="64"/>
        <v/>
      </c>
      <c r="I140" s="10" t="str">
        <f t="shared" si="65"/>
        <v/>
      </c>
      <c r="J140" s="24"/>
      <c r="K140" s="13" t="str">
        <f t="shared" si="66"/>
        <v/>
      </c>
      <c r="L140" s="13" t="str">
        <f t="shared" si="67"/>
        <v/>
      </c>
      <c r="M140" s="25"/>
      <c r="N140" s="25"/>
      <c r="O140" s="22"/>
      <c r="P140" s="11" t="str">
        <f t="shared" si="68"/>
        <v/>
      </c>
      <c r="Q140" s="26"/>
      <c r="R140" s="22"/>
      <c r="S140" s="29" t="str">
        <f t="shared" si="69"/>
        <v/>
      </c>
      <c r="T140" s="12" t="str">
        <f t="shared" si="70"/>
        <v/>
      </c>
      <c r="U140" s="12" t="str">
        <f t="shared" si="71"/>
        <v/>
      </c>
      <c r="V140" s="12" t="str">
        <f>IF(AND($B140="",$C140=""),"",HLOOKUP(VLOOKUP($B$1,'Cidade-ER'!$A:$B,2,0),$AP$6:$BB140,ROW()-5,0))</f>
        <v/>
      </c>
      <c r="W140" s="12" t="str">
        <f t="shared" si="72"/>
        <v/>
      </c>
      <c r="X140" s="12" t="str">
        <f t="shared" si="73"/>
        <v/>
      </c>
      <c r="Y140" s="14" t="str">
        <f t="shared" si="74"/>
        <v/>
      </c>
      <c r="Z140" s="12" t="str">
        <f t="shared" si="75"/>
        <v/>
      </c>
      <c r="AA140" s="12" t="str">
        <f>IF(AND($B140="",$C140=""),"",(Sarjeta!$C$17^(5/3))*(Sarjeta!$C$16^(-2/3))*(ABS($K140)^0.5)/Sarjeta!$C$14*1000*2)</f>
        <v/>
      </c>
      <c r="AB140" s="12" t="str">
        <f>IF(AND($B140="",$C140=""),"",(Sarjeta!$C$17/Sarjeta!$C$16)^(2/3)*(ABS($K140)^0.5)/Sarjeta!$C$14)</f>
        <v/>
      </c>
      <c r="AC140" s="36" t="str">
        <f>IF(AND($B140="",$C140=""),"",IF(Z140&lt;AA140,0,MAX(ROUND(Z140/AA140,0)*2,ROUNDUP(ROUND(Z140/Sarjeta!$C$19,0)/2,0)*2)))</f>
        <v/>
      </c>
      <c r="AD140" s="26"/>
      <c r="AE140" s="27"/>
      <c r="AF140" s="32" t="str">
        <f>IF(OR($AE140="",AND($B140="",$C140="")),"",IF(ISERROR(VLOOKUP(AL140,Coeficientes!$A:$C,3,1)),0.05,VLOOKUP(AL140,Coeficientes!$A:$C,3,1)))</f>
        <v/>
      </c>
      <c r="AG140" s="12" t="str">
        <f t="shared" si="63"/>
        <v/>
      </c>
      <c r="AH140" s="30"/>
      <c r="AI140" s="31"/>
      <c r="AJ140" s="48" t="str">
        <f t="shared" si="76"/>
        <v/>
      </c>
      <c r="AK140" s="48" t="str">
        <f t="shared" si="77"/>
        <v/>
      </c>
      <c r="AL140" s="48" t="str">
        <f t="shared" si="78"/>
        <v/>
      </c>
      <c r="AM140" s="48" t="str">
        <f>IF(AND($B140="",$C140=""),"",VLOOKUP($AF140,Coeficientes!$C:$D,2,0))</f>
        <v/>
      </c>
      <c r="AN140" s="48" t="str">
        <f t="shared" si="79"/>
        <v/>
      </c>
      <c r="AO140" s="48" t="str">
        <f t="shared" si="80"/>
        <v/>
      </c>
      <c r="AP140" s="48" t="str">
        <f t="shared" si="81"/>
        <v/>
      </c>
      <c r="AQ140" s="48" t="str">
        <f t="shared" si="82"/>
        <v/>
      </c>
      <c r="AR140" s="48" t="str">
        <f t="shared" si="83"/>
        <v/>
      </c>
      <c r="AS140" s="48" t="str">
        <f t="shared" si="84"/>
        <v/>
      </c>
      <c r="AT140" s="48" t="str">
        <f t="shared" si="85"/>
        <v/>
      </c>
      <c r="AU140" s="48" t="str">
        <f t="shared" si="86"/>
        <v/>
      </c>
      <c r="AV140" s="48" t="str">
        <f t="shared" si="87"/>
        <v/>
      </c>
      <c r="AW140" s="48" t="str">
        <f t="shared" si="88"/>
        <v/>
      </c>
      <c r="AX140" s="48" t="str">
        <f t="shared" si="89"/>
        <v/>
      </c>
      <c r="AY140" s="48" t="str">
        <f t="shared" si="90"/>
        <v/>
      </c>
      <c r="AZ140" s="48" t="str">
        <f t="shared" si="91"/>
        <v/>
      </c>
      <c r="BA140" s="48" t="str">
        <f t="shared" si="92"/>
        <v/>
      </c>
      <c r="BB140" s="48" t="str">
        <f t="shared" si="93"/>
        <v/>
      </c>
    </row>
    <row r="141" spans="1:54" x14ac:dyDescent="0.2">
      <c r="A141" s="30"/>
      <c r="B141" s="23"/>
      <c r="C141" s="23"/>
      <c r="D141" s="24"/>
      <c r="E141" s="24"/>
      <c r="F141" s="24"/>
      <c r="G141" s="24"/>
      <c r="H141" s="10" t="str">
        <f t="shared" si="64"/>
        <v/>
      </c>
      <c r="I141" s="10" t="str">
        <f t="shared" si="65"/>
        <v/>
      </c>
      <c r="J141" s="24"/>
      <c r="K141" s="13" t="str">
        <f t="shared" si="66"/>
        <v/>
      </c>
      <c r="L141" s="13" t="str">
        <f t="shared" si="67"/>
        <v/>
      </c>
      <c r="M141" s="25"/>
      <c r="N141" s="25"/>
      <c r="O141" s="22"/>
      <c r="P141" s="11" t="str">
        <f t="shared" si="68"/>
        <v/>
      </c>
      <c r="Q141" s="26"/>
      <c r="R141" s="22"/>
      <c r="S141" s="29" t="str">
        <f t="shared" si="69"/>
        <v/>
      </c>
      <c r="T141" s="12" t="str">
        <f t="shared" si="70"/>
        <v/>
      </c>
      <c r="U141" s="12" t="str">
        <f t="shared" si="71"/>
        <v/>
      </c>
      <c r="V141" s="12" t="str">
        <f>IF(AND($B141="",$C141=""),"",HLOOKUP(VLOOKUP($B$1,'Cidade-ER'!$A:$B,2,0),$AP$6:$BB141,ROW()-5,0))</f>
        <v/>
      </c>
      <c r="W141" s="12" t="str">
        <f t="shared" si="72"/>
        <v/>
      </c>
      <c r="X141" s="12" t="str">
        <f t="shared" si="73"/>
        <v/>
      </c>
      <c r="Y141" s="14" t="str">
        <f t="shared" si="74"/>
        <v/>
      </c>
      <c r="Z141" s="12" t="str">
        <f t="shared" si="75"/>
        <v/>
      </c>
      <c r="AA141" s="12" t="str">
        <f>IF(AND($B141="",$C141=""),"",(Sarjeta!$C$17^(5/3))*(Sarjeta!$C$16^(-2/3))*(ABS($K141)^0.5)/Sarjeta!$C$14*1000*2)</f>
        <v/>
      </c>
      <c r="AB141" s="12" t="str">
        <f>IF(AND($B141="",$C141=""),"",(Sarjeta!$C$17/Sarjeta!$C$16)^(2/3)*(ABS($K141)^0.5)/Sarjeta!$C$14)</f>
        <v/>
      </c>
      <c r="AC141" s="36" t="str">
        <f>IF(AND($B141="",$C141=""),"",IF(Z141&lt;AA141,0,MAX(ROUND(Z141/AA141,0)*2,ROUNDUP(ROUND(Z141/Sarjeta!$C$19,0)/2,0)*2)))</f>
        <v/>
      </c>
      <c r="AD141" s="26"/>
      <c r="AE141" s="27"/>
      <c r="AF141" s="32" t="str">
        <f>IF(OR($AE141="",AND($B141="",$C141="")),"",IF(ISERROR(VLOOKUP(AL141,Coeficientes!$A:$C,3,1)),0.05,VLOOKUP(AL141,Coeficientes!$A:$C,3,1)))</f>
        <v/>
      </c>
      <c r="AG141" s="12" t="str">
        <f t="shared" si="63"/>
        <v/>
      </c>
      <c r="AH141" s="30"/>
      <c r="AI141" s="31"/>
      <c r="AJ141" s="48" t="str">
        <f t="shared" si="76"/>
        <v/>
      </c>
      <c r="AK141" s="48" t="str">
        <f t="shared" si="77"/>
        <v/>
      </c>
      <c r="AL141" s="48" t="str">
        <f t="shared" si="78"/>
        <v/>
      </c>
      <c r="AM141" s="48" t="str">
        <f>IF(AND($B141="",$C141=""),"",VLOOKUP($AF141,Coeficientes!$C:$D,2,0))</f>
        <v/>
      </c>
      <c r="AN141" s="48" t="str">
        <f t="shared" si="79"/>
        <v/>
      </c>
      <c r="AO141" s="48" t="str">
        <f t="shared" si="80"/>
        <v/>
      </c>
      <c r="AP141" s="48" t="str">
        <f t="shared" si="81"/>
        <v/>
      </c>
      <c r="AQ141" s="48" t="str">
        <f t="shared" si="82"/>
        <v/>
      </c>
      <c r="AR141" s="48" t="str">
        <f t="shared" si="83"/>
        <v/>
      </c>
      <c r="AS141" s="48" t="str">
        <f t="shared" si="84"/>
        <v/>
      </c>
      <c r="AT141" s="48" t="str">
        <f t="shared" si="85"/>
        <v/>
      </c>
      <c r="AU141" s="48" t="str">
        <f t="shared" si="86"/>
        <v/>
      </c>
      <c r="AV141" s="48" t="str">
        <f t="shared" si="87"/>
        <v/>
      </c>
      <c r="AW141" s="48" t="str">
        <f t="shared" si="88"/>
        <v/>
      </c>
      <c r="AX141" s="48" t="str">
        <f t="shared" si="89"/>
        <v/>
      </c>
      <c r="AY141" s="48" t="str">
        <f t="shared" si="90"/>
        <v/>
      </c>
      <c r="AZ141" s="48" t="str">
        <f t="shared" si="91"/>
        <v/>
      </c>
      <c r="BA141" s="48" t="str">
        <f t="shared" si="92"/>
        <v/>
      </c>
      <c r="BB141" s="48" t="str">
        <f t="shared" si="93"/>
        <v/>
      </c>
    </row>
    <row r="142" spans="1:54" x14ac:dyDescent="0.2">
      <c r="A142" s="30"/>
      <c r="B142" s="23"/>
      <c r="C142" s="23"/>
      <c r="D142" s="24"/>
      <c r="E142" s="24"/>
      <c r="F142" s="24"/>
      <c r="G142" s="24"/>
      <c r="H142" s="10" t="str">
        <f t="shared" si="64"/>
        <v/>
      </c>
      <c r="I142" s="10" t="str">
        <f t="shared" si="65"/>
        <v/>
      </c>
      <c r="J142" s="24"/>
      <c r="K142" s="13" t="str">
        <f t="shared" si="66"/>
        <v/>
      </c>
      <c r="L142" s="13" t="str">
        <f t="shared" si="67"/>
        <v/>
      </c>
      <c r="M142" s="25"/>
      <c r="N142" s="25"/>
      <c r="O142" s="22"/>
      <c r="P142" s="11" t="str">
        <f t="shared" si="68"/>
        <v/>
      </c>
      <c r="Q142" s="26"/>
      <c r="R142" s="22"/>
      <c r="S142" s="29" t="str">
        <f t="shared" si="69"/>
        <v/>
      </c>
      <c r="T142" s="12" t="str">
        <f t="shared" si="70"/>
        <v/>
      </c>
      <c r="U142" s="12" t="str">
        <f t="shared" si="71"/>
        <v/>
      </c>
      <c r="V142" s="12" t="str">
        <f>IF(AND($B142="",$C142=""),"",HLOOKUP(VLOOKUP($B$1,'Cidade-ER'!$A:$B,2,0),$AP$6:$BB142,ROW()-5,0))</f>
        <v/>
      </c>
      <c r="W142" s="12" t="str">
        <f t="shared" si="72"/>
        <v/>
      </c>
      <c r="X142" s="12" t="str">
        <f t="shared" si="73"/>
        <v/>
      </c>
      <c r="Y142" s="14" t="str">
        <f t="shared" si="74"/>
        <v/>
      </c>
      <c r="Z142" s="12" t="str">
        <f t="shared" si="75"/>
        <v/>
      </c>
      <c r="AA142" s="12" t="str">
        <f>IF(AND($B142="",$C142=""),"",(Sarjeta!$C$17^(5/3))*(Sarjeta!$C$16^(-2/3))*(ABS($K142)^0.5)/Sarjeta!$C$14*1000*2)</f>
        <v/>
      </c>
      <c r="AB142" s="12" t="str">
        <f>IF(AND($B142="",$C142=""),"",(Sarjeta!$C$17/Sarjeta!$C$16)^(2/3)*(ABS($K142)^0.5)/Sarjeta!$C$14)</f>
        <v/>
      </c>
      <c r="AC142" s="36" t="str">
        <f>IF(AND($B142="",$C142=""),"",IF(Z142&lt;AA142,0,MAX(ROUND(Z142/AA142,0)*2,ROUNDUP(ROUND(Z142/Sarjeta!$C$19,0)/2,0)*2)))</f>
        <v/>
      </c>
      <c r="AD142" s="26"/>
      <c r="AE142" s="27"/>
      <c r="AF142" s="32" t="str">
        <f>IF(OR($AE142="",AND($B142="",$C142="")),"",IF(ISERROR(VLOOKUP(AL142,Coeficientes!$A:$C,3,1)),0.05,VLOOKUP(AL142,Coeficientes!$A:$C,3,1)))</f>
        <v/>
      </c>
      <c r="AG142" s="12" t="str">
        <f t="shared" si="63"/>
        <v/>
      </c>
      <c r="AH142" s="30"/>
      <c r="AI142" s="31"/>
      <c r="AJ142" s="48" t="str">
        <f t="shared" si="76"/>
        <v/>
      </c>
      <c r="AK142" s="48" t="str">
        <f t="shared" si="77"/>
        <v/>
      </c>
      <c r="AL142" s="48" t="str">
        <f t="shared" si="78"/>
        <v/>
      </c>
      <c r="AM142" s="48" t="str">
        <f>IF(AND($B142="",$C142=""),"",VLOOKUP($AF142,Coeficientes!$C:$D,2,0))</f>
        <v/>
      </c>
      <c r="AN142" s="48" t="str">
        <f t="shared" si="79"/>
        <v/>
      </c>
      <c r="AO142" s="48" t="str">
        <f t="shared" si="80"/>
        <v/>
      </c>
      <c r="AP142" s="48" t="str">
        <f t="shared" si="81"/>
        <v/>
      </c>
      <c r="AQ142" s="48" t="str">
        <f t="shared" si="82"/>
        <v/>
      </c>
      <c r="AR142" s="48" t="str">
        <f t="shared" si="83"/>
        <v/>
      </c>
      <c r="AS142" s="48" t="str">
        <f t="shared" si="84"/>
        <v/>
      </c>
      <c r="AT142" s="48" t="str">
        <f t="shared" si="85"/>
        <v/>
      </c>
      <c r="AU142" s="48" t="str">
        <f t="shared" si="86"/>
        <v/>
      </c>
      <c r="AV142" s="48" t="str">
        <f t="shared" si="87"/>
        <v/>
      </c>
      <c r="AW142" s="48" t="str">
        <f t="shared" si="88"/>
        <v/>
      </c>
      <c r="AX142" s="48" t="str">
        <f t="shared" si="89"/>
        <v/>
      </c>
      <c r="AY142" s="48" t="str">
        <f t="shared" si="90"/>
        <v/>
      </c>
      <c r="AZ142" s="48" t="str">
        <f t="shared" si="91"/>
        <v/>
      </c>
      <c r="BA142" s="48" t="str">
        <f t="shared" si="92"/>
        <v/>
      </c>
      <c r="BB142" s="48" t="str">
        <f t="shared" si="93"/>
        <v/>
      </c>
    </row>
    <row r="143" spans="1:54" x14ac:dyDescent="0.2">
      <c r="A143" s="30"/>
      <c r="B143" s="23"/>
      <c r="C143" s="23"/>
      <c r="D143" s="24"/>
      <c r="E143" s="24"/>
      <c r="F143" s="24"/>
      <c r="G143" s="24"/>
      <c r="H143" s="10" t="str">
        <f t="shared" si="64"/>
        <v/>
      </c>
      <c r="I143" s="10" t="str">
        <f t="shared" si="65"/>
        <v/>
      </c>
      <c r="J143" s="24"/>
      <c r="K143" s="13" t="str">
        <f t="shared" si="66"/>
        <v/>
      </c>
      <c r="L143" s="13" t="str">
        <f t="shared" si="67"/>
        <v/>
      </c>
      <c r="M143" s="25"/>
      <c r="N143" s="25"/>
      <c r="O143" s="22"/>
      <c r="P143" s="11" t="str">
        <f t="shared" si="68"/>
        <v/>
      </c>
      <c r="Q143" s="26"/>
      <c r="R143" s="22"/>
      <c r="S143" s="29" t="str">
        <f t="shared" si="69"/>
        <v/>
      </c>
      <c r="T143" s="12" t="str">
        <f t="shared" si="70"/>
        <v/>
      </c>
      <c r="U143" s="12" t="str">
        <f t="shared" si="71"/>
        <v/>
      </c>
      <c r="V143" s="12" t="str">
        <f>IF(AND($B143="",$C143=""),"",HLOOKUP(VLOOKUP($B$1,'Cidade-ER'!$A:$B,2,0),$AP$6:$BB143,ROW()-5,0))</f>
        <v/>
      </c>
      <c r="W143" s="12" t="str">
        <f t="shared" si="72"/>
        <v/>
      </c>
      <c r="X143" s="12" t="str">
        <f t="shared" si="73"/>
        <v/>
      </c>
      <c r="Y143" s="14" t="str">
        <f t="shared" si="74"/>
        <v/>
      </c>
      <c r="Z143" s="12" t="str">
        <f t="shared" si="75"/>
        <v/>
      </c>
      <c r="AA143" s="12" t="str">
        <f>IF(AND($B143="",$C143=""),"",(Sarjeta!$C$17^(5/3))*(Sarjeta!$C$16^(-2/3))*(ABS($K143)^0.5)/Sarjeta!$C$14*1000*2)</f>
        <v/>
      </c>
      <c r="AB143" s="12" t="str">
        <f>IF(AND($B143="",$C143=""),"",(Sarjeta!$C$17/Sarjeta!$C$16)^(2/3)*(ABS($K143)^0.5)/Sarjeta!$C$14)</f>
        <v/>
      </c>
      <c r="AC143" s="36" t="str">
        <f>IF(AND($B143="",$C143=""),"",IF(Z143&lt;AA143,0,MAX(ROUND(Z143/AA143,0)*2,ROUNDUP(ROUND(Z143/Sarjeta!$C$19,0)/2,0)*2)))</f>
        <v/>
      </c>
      <c r="AD143" s="26"/>
      <c r="AE143" s="27"/>
      <c r="AF143" s="32" t="str">
        <f>IF(OR($AE143="",AND($B143="",$C143="")),"",IF(ISERROR(VLOOKUP(AL143,Coeficientes!$A:$C,3,1)),0.05,VLOOKUP(AL143,Coeficientes!$A:$C,3,1)))</f>
        <v/>
      </c>
      <c r="AG143" s="12" t="str">
        <f t="shared" si="63"/>
        <v/>
      </c>
      <c r="AH143" s="30"/>
      <c r="AI143" s="31"/>
      <c r="AJ143" s="48" t="str">
        <f t="shared" si="76"/>
        <v/>
      </c>
      <c r="AK143" s="48" t="str">
        <f t="shared" si="77"/>
        <v/>
      </c>
      <c r="AL143" s="48" t="str">
        <f t="shared" si="78"/>
        <v/>
      </c>
      <c r="AM143" s="48" t="str">
        <f>IF(AND($B143="",$C143=""),"",VLOOKUP($AF143,Coeficientes!$C:$D,2,0))</f>
        <v/>
      </c>
      <c r="AN143" s="48" t="str">
        <f t="shared" si="79"/>
        <v/>
      </c>
      <c r="AO143" s="48" t="str">
        <f t="shared" si="80"/>
        <v/>
      </c>
      <c r="AP143" s="48" t="str">
        <f t="shared" si="81"/>
        <v/>
      </c>
      <c r="AQ143" s="48" t="str">
        <f t="shared" si="82"/>
        <v/>
      </c>
      <c r="AR143" s="48" t="str">
        <f t="shared" si="83"/>
        <v/>
      </c>
      <c r="AS143" s="48" t="str">
        <f t="shared" si="84"/>
        <v/>
      </c>
      <c r="AT143" s="48" t="str">
        <f t="shared" si="85"/>
        <v/>
      </c>
      <c r="AU143" s="48" t="str">
        <f t="shared" si="86"/>
        <v/>
      </c>
      <c r="AV143" s="48" t="str">
        <f t="shared" si="87"/>
        <v/>
      </c>
      <c r="AW143" s="48" t="str">
        <f t="shared" si="88"/>
        <v/>
      </c>
      <c r="AX143" s="48" t="str">
        <f t="shared" si="89"/>
        <v/>
      </c>
      <c r="AY143" s="48" t="str">
        <f t="shared" si="90"/>
        <v/>
      </c>
      <c r="AZ143" s="48" t="str">
        <f t="shared" si="91"/>
        <v/>
      </c>
      <c r="BA143" s="48" t="str">
        <f t="shared" si="92"/>
        <v/>
      </c>
      <c r="BB143" s="48" t="str">
        <f t="shared" si="93"/>
        <v/>
      </c>
    </row>
    <row r="144" spans="1:54" x14ac:dyDescent="0.2">
      <c r="A144" s="30"/>
      <c r="B144" s="23"/>
      <c r="C144" s="23"/>
      <c r="D144" s="24"/>
      <c r="E144" s="24"/>
      <c r="F144" s="24"/>
      <c r="G144" s="24"/>
      <c r="H144" s="10" t="str">
        <f t="shared" si="64"/>
        <v/>
      </c>
      <c r="I144" s="10" t="str">
        <f t="shared" si="65"/>
        <v/>
      </c>
      <c r="J144" s="24"/>
      <c r="K144" s="13" t="str">
        <f t="shared" si="66"/>
        <v/>
      </c>
      <c r="L144" s="13" t="str">
        <f t="shared" si="67"/>
        <v/>
      </c>
      <c r="M144" s="25"/>
      <c r="N144" s="25"/>
      <c r="O144" s="22"/>
      <c r="P144" s="11" t="str">
        <f t="shared" si="68"/>
        <v/>
      </c>
      <c r="Q144" s="26"/>
      <c r="R144" s="22"/>
      <c r="S144" s="29" t="str">
        <f t="shared" si="69"/>
        <v/>
      </c>
      <c r="T144" s="12" t="str">
        <f t="shared" si="70"/>
        <v/>
      </c>
      <c r="U144" s="12" t="str">
        <f t="shared" si="71"/>
        <v/>
      </c>
      <c r="V144" s="12" t="str">
        <f>IF(AND($B144="",$C144=""),"",HLOOKUP(VLOOKUP($B$1,'Cidade-ER'!$A:$B,2,0),$AP$6:$BB144,ROW()-5,0))</f>
        <v/>
      </c>
      <c r="W144" s="12" t="str">
        <f t="shared" si="72"/>
        <v/>
      </c>
      <c r="X144" s="12" t="str">
        <f t="shared" si="73"/>
        <v/>
      </c>
      <c r="Y144" s="14" t="str">
        <f t="shared" si="74"/>
        <v/>
      </c>
      <c r="Z144" s="12" t="str">
        <f t="shared" si="75"/>
        <v/>
      </c>
      <c r="AA144" s="12" t="str">
        <f>IF(AND($B144="",$C144=""),"",(Sarjeta!$C$17^(5/3))*(Sarjeta!$C$16^(-2/3))*(ABS($K144)^0.5)/Sarjeta!$C$14*1000*2)</f>
        <v/>
      </c>
      <c r="AB144" s="12" t="str">
        <f>IF(AND($B144="",$C144=""),"",(Sarjeta!$C$17/Sarjeta!$C$16)^(2/3)*(ABS($K144)^0.5)/Sarjeta!$C$14)</f>
        <v/>
      </c>
      <c r="AC144" s="36" t="str">
        <f>IF(AND($B144="",$C144=""),"",IF(Z144&lt;AA144,0,MAX(ROUND(Z144/AA144,0)*2,ROUNDUP(ROUND(Z144/Sarjeta!$C$19,0)/2,0)*2)))</f>
        <v/>
      </c>
      <c r="AD144" s="26"/>
      <c r="AE144" s="27"/>
      <c r="AF144" s="32" t="str">
        <f>IF(OR($AE144="",AND($B144="",$C144="")),"",IF(ISERROR(VLOOKUP(AL144,Coeficientes!$A:$C,3,1)),0.05,VLOOKUP(AL144,Coeficientes!$A:$C,3,1)))</f>
        <v/>
      </c>
      <c r="AG144" s="12" t="str">
        <f t="shared" si="63"/>
        <v/>
      </c>
      <c r="AH144" s="30"/>
      <c r="AI144" s="31"/>
      <c r="AJ144" s="48" t="str">
        <f t="shared" si="76"/>
        <v/>
      </c>
      <c r="AK144" s="48" t="str">
        <f t="shared" si="77"/>
        <v/>
      </c>
      <c r="AL144" s="48" t="str">
        <f t="shared" si="78"/>
        <v/>
      </c>
      <c r="AM144" s="48" t="str">
        <f>IF(AND($B144="",$C144=""),"",VLOOKUP($AF144,Coeficientes!$C:$D,2,0))</f>
        <v/>
      </c>
      <c r="AN144" s="48" t="str">
        <f t="shared" si="79"/>
        <v/>
      </c>
      <c r="AO144" s="48" t="str">
        <f t="shared" si="80"/>
        <v/>
      </c>
      <c r="AP144" s="48" t="str">
        <f t="shared" si="81"/>
        <v/>
      </c>
      <c r="AQ144" s="48" t="str">
        <f t="shared" si="82"/>
        <v/>
      </c>
      <c r="AR144" s="48" t="str">
        <f t="shared" si="83"/>
        <v/>
      </c>
      <c r="AS144" s="48" t="str">
        <f t="shared" si="84"/>
        <v/>
      </c>
      <c r="AT144" s="48" t="str">
        <f t="shared" si="85"/>
        <v/>
      </c>
      <c r="AU144" s="48" t="str">
        <f t="shared" si="86"/>
        <v/>
      </c>
      <c r="AV144" s="48" t="str">
        <f t="shared" si="87"/>
        <v/>
      </c>
      <c r="AW144" s="48" t="str">
        <f t="shared" si="88"/>
        <v/>
      </c>
      <c r="AX144" s="48" t="str">
        <f t="shared" si="89"/>
        <v/>
      </c>
      <c r="AY144" s="48" t="str">
        <f t="shared" si="90"/>
        <v/>
      </c>
      <c r="AZ144" s="48" t="str">
        <f t="shared" si="91"/>
        <v/>
      </c>
      <c r="BA144" s="48" t="str">
        <f t="shared" si="92"/>
        <v/>
      </c>
      <c r="BB144" s="48" t="str">
        <f t="shared" si="93"/>
        <v/>
      </c>
    </row>
    <row r="145" spans="1:54" x14ac:dyDescent="0.2">
      <c r="A145" s="30"/>
      <c r="B145" s="23"/>
      <c r="C145" s="23"/>
      <c r="D145" s="24"/>
      <c r="E145" s="24"/>
      <c r="F145" s="24"/>
      <c r="G145" s="24"/>
      <c r="H145" s="10" t="str">
        <f t="shared" si="64"/>
        <v/>
      </c>
      <c r="I145" s="10" t="str">
        <f t="shared" si="65"/>
        <v/>
      </c>
      <c r="J145" s="24"/>
      <c r="K145" s="13" t="str">
        <f t="shared" si="66"/>
        <v/>
      </c>
      <c r="L145" s="13" t="str">
        <f t="shared" si="67"/>
        <v/>
      </c>
      <c r="M145" s="25"/>
      <c r="N145" s="25"/>
      <c r="O145" s="22"/>
      <c r="P145" s="11" t="str">
        <f t="shared" si="68"/>
        <v/>
      </c>
      <c r="Q145" s="26"/>
      <c r="R145" s="22"/>
      <c r="S145" s="29" t="str">
        <f t="shared" si="69"/>
        <v/>
      </c>
      <c r="T145" s="12" t="str">
        <f t="shared" si="70"/>
        <v/>
      </c>
      <c r="U145" s="12" t="str">
        <f t="shared" si="71"/>
        <v/>
      </c>
      <c r="V145" s="12" t="str">
        <f>IF(AND($B145="",$C145=""),"",HLOOKUP(VLOOKUP($B$1,'Cidade-ER'!$A:$B,2,0),$AP$6:$BB145,ROW()-5,0))</f>
        <v/>
      </c>
      <c r="W145" s="12" t="str">
        <f t="shared" si="72"/>
        <v/>
      </c>
      <c r="X145" s="12" t="str">
        <f t="shared" si="73"/>
        <v/>
      </c>
      <c r="Y145" s="14" t="str">
        <f t="shared" si="74"/>
        <v/>
      </c>
      <c r="Z145" s="12" t="str">
        <f t="shared" si="75"/>
        <v/>
      </c>
      <c r="AA145" s="12" t="str">
        <f>IF(AND($B145="",$C145=""),"",(Sarjeta!$C$17^(5/3))*(Sarjeta!$C$16^(-2/3))*(ABS($K145)^0.5)/Sarjeta!$C$14*1000*2)</f>
        <v/>
      </c>
      <c r="AB145" s="12" t="str">
        <f>IF(AND($B145="",$C145=""),"",(Sarjeta!$C$17/Sarjeta!$C$16)^(2/3)*(ABS($K145)^0.5)/Sarjeta!$C$14)</f>
        <v/>
      </c>
      <c r="AC145" s="36" t="str">
        <f>IF(AND($B145="",$C145=""),"",IF(Z145&lt;AA145,0,MAX(ROUND(Z145/AA145,0)*2,ROUNDUP(ROUND(Z145/Sarjeta!$C$19,0)/2,0)*2)))</f>
        <v/>
      </c>
      <c r="AD145" s="26"/>
      <c r="AE145" s="27"/>
      <c r="AF145" s="32" t="str">
        <f>IF(OR($AE145="",AND($B145="",$C145="")),"",IF(ISERROR(VLOOKUP(AL145,Coeficientes!$A:$C,3,1)),0.05,VLOOKUP(AL145,Coeficientes!$A:$C,3,1)))</f>
        <v/>
      </c>
      <c r="AG145" s="12" t="str">
        <f t="shared" si="63"/>
        <v/>
      </c>
      <c r="AH145" s="30"/>
      <c r="AI145" s="31"/>
      <c r="AJ145" s="48" t="str">
        <f t="shared" si="76"/>
        <v/>
      </c>
      <c r="AK145" s="48" t="str">
        <f t="shared" si="77"/>
        <v/>
      </c>
      <c r="AL145" s="48" t="str">
        <f t="shared" si="78"/>
        <v/>
      </c>
      <c r="AM145" s="48" t="str">
        <f>IF(AND($B145="",$C145=""),"",VLOOKUP($AF145,Coeficientes!$C:$D,2,0))</f>
        <v/>
      </c>
      <c r="AN145" s="48" t="str">
        <f t="shared" si="79"/>
        <v/>
      </c>
      <c r="AO145" s="48" t="str">
        <f t="shared" si="80"/>
        <v/>
      </c>
      <c r="AP145" s="48" t="str">
        <f t="shared" si="81"/>
        <v/>
      </c>
      <c r="AQ145" s="48" t="str">
        <f t="shared" si="82"/>
        <v/>
      </c>
      <c r="AR145" s="48" t="str">
        <f t="shared" si="83"/>
        <v/>
      </c>
      <c r="AS145" s="48" t="str">
        <f t="shared" si="84"/>
        <v/>
      </c>
      <c r="AT145" s="48" t="str">
        <f t="shared" si="85"/>
        <v/>
      </c>
      <c r="AU145" s="48" t="str">
        <f t="shared" si="86"/>
        <v/>
      </c>
      <c r="AV145" s="48" t="str">
        <f t="shared" si="87"/>
        <v/>
      </c>
      <c r="AW145" s="48" t="str">
        <f t="shared" si="88"/>
        <v/>
      </c>
      <c r="AX145" s="48" t="str">
        <f t="shared" si="89"/>
        <v/>
      </c>
      <c r="AY145" s="48" t="str">
        <f t="shared" si="90"/>
        <v/>
      </c>
      <c r="AZ145" s="48" t="str">
        <f t="shared" si="91"/>
        <v/>
      </c>
      <c r="BA145" s="48" t="str">
        <f t="shared" si="92"/>
        <v/>
      </c>
      <c r="BB145" s="48" t="str">
        <f t="shared" si="93"/>
        <v/>
      </c>
    </row>
    <row r="146" spans="1:54" x14ac:dyDescent="0.2">
      <c r="A146" s="30"/>
      <c r="B146" s="23"/>
      <c r="C146" s="23"/>
      <c r="D146" s="24"/>
      <c r="E146" s="24"/>
      <c r="F146" s="24"/>
      <c r="G146" s="24"/>
      <c r="H146" s="10" t="str">
        <f t="shared" si="64"/>
        <v/>
      </c>
      <c r="I146" s="10" t="str">
        <f t="shared" si="65"/>
        <v/>
      </c>
      <c r="J146" s="24"/>
      <c r="K146" s="13" t="str">
        <f t="shared" si="66"/>
        <v/>
      </c>
      <c r="L146" s="13" t="str">
        <f t="shared" si="67"/>
        <v/>
      </c>
      <c r="M146" s="25"/>
      <c r="N146" s="25"/>
      <c r="O146" s="22"/>
      <c r="P146" s="11" t="str">
        <f t="shared" si="68"/>
        <v/>
      </c>
      <c r="Q146" s="26"/>
      <c r="R146" s="22"/>
      <c r="S146" s="29" t="str">
        <f t="shared" si="69"/>
        <v/>
      </c>
      <c r="T146" s="12" t="str">
        <f t="shared" si="70"/>
        <v/>
      </c>
      <c r="U146" s="12" t="str">
        <f t="shared" si="71"/>
        <v/>
      </c>
      <c r="V146" s="12" t="str">
        <f>IF(AND($B146="",$C146=""),"",HLOOKUP(VLOOKUP($B$1,'Cidade-ER'!$A:$B,2,0),$AP$6:$BB146,ROW()-5,0))</f>
        <v/>
      </c>
      <c r="W146" s="12" t="str">
        <f t="shared" si="72"/>
        <v/>
      </c>
      <c r="X146" s="12" t="str">
        <f t="shared" si="73"/>
        <v/>
      </c>
      <c r="Y146" s="14" t="str">
        <f t="shared" si="74"/>
        <v/>
      </c>
      <c r="Z146" s="12" t="str">
        <f t="shared" si="75"/>
        <v/>
      </c>
      <c r="AA146" s="12" t="str">
        <f>IF(AND($B146="",$C146=""),"",(Sarjeta!$C$17^(5/3))*(Sarjeta!$C$16^(-2/3))*(ABS($K146)^0.5)/Sarjeta!$C$14*1000*2)</f>
        <v/>
      </c>
      <c r="AB146" s="12" t="str">
        <f>IF(AND($B146="",$C146=""),"",(Sarjeta!$C$17/Sarjeta!$C$16)^(2/3)*(ABS($K146)^0.5)/Sarjeta!$C$14)</f>
        <v/>
      </c>
      <c r="AC146" s="36" t="str">
        <f>IF(AND($B146="",$C146=""),"",IF(Z146&lt;AA146,0,MAX(ROUND(Z146/AA146,0)*2,ROUNDUP(ROUND(Z146/Sarjeta!$C$19,0)/2,0)*2)))</f>
        <v/>
      </c>
      <c r="AD146" s="26"/>
      <c r="AE146" s="27"/>
      <c r="AF146" s="32" t="str">
        <f>IF(OR($AE146="",AND($B146="",$C146="")),"",IF(ISERROR(VLOOKUP(AL146,Coeficientes!$A:$C,3,1)),0.05,VLOOKUP(AL146,Coeficientes!$A:$C,3,1)))</f>
        <v/>
      </c>
      <c r="AG146" s="12" t="str">
        <f t="shared" si="63"/>
        <v/>
      </c>
      <c r="AH146" s="30"/>
      <c r="AI146" s="31"/>
      <c r="AJ146" s="48" t="str">
        <f t="shared" si="76"/>
        <v/>
      </c>
      <c r="AK146" s="48" t="str">
        <f t="shared" si="77"/>
        <v/>
      </c>
      <c r="AL146" s="48" t="str">
        <f t="shared" si="78"/>
        <v/>
      </c>
      <c r="AM146" s="48" t="str">
        <f>IF(AND($B146="",$C146=""),"",VLOOKUP($AF146,Coeficientes!$C:$D,2,0))</f>
        <v/>
      </c>
      <c r="AN146" s="48" t="str">
        <f t="shared" si="79"/>
        <v/>
      </c>
      <c r="AO146" s="48" t="str">
        <f t="shared" si="80"/>
        <v/>
      </c>
      <c r="AP146" s="48" t="str">
        <f t="shared" si="81"/>
        <v/>
      </c>
      <c r="AQ146" s="48" t="str">
        <f t="shared" si="82"/>
        <v/>
      </c>
      <c r="AR146" s="48" t="str">
        <f t="shared" si="83"/>
        <v/>
      </c>
      <c r="AS146" s="48" t="str">
        <f t="shared" si="84"/>
        <v/>
      </c>
      <c r="AT146" s="48" t="str">
        <f t="shared" si="85"/>
        <v/>
      </c>
      <c r="AU146" s="48" t="str">
        <f t="shared" si="86"/>
        <v/>
      </c>
      <c r="AV146" s="48" t="str">
        <f t="shared" si="87"/>
        <v/>
      </c>
      <c r="AW146" s="48" t="str">
        <f t="shared" si="88"/>
        <v/>
      </c>
      <c r="AX146" s="48" t="str">
        <f t="shared" si="89"/>
        <v/>
      </c>
      <c r="AY146" s="48" t="str">
        <f t="shared" si="90"/>
        <v/>
      </c>
      <c r="AZ146" s="48" t="str">
        <f t="shared" si="91"/>
        <v/>
      </c>
      <c r="BA146" s="48" t="str">
        <f t="shared" si="92"/>
        <v/>
      </c>
      <c r="BB146" s="48" t="str">
        <f t="shared" si="93"/>
        <v/>
      </c>
    </row>
    <row r="147" spans="1:54" x14ac:dyDescent="0.2">
      <c r="A147" s="30"/>
      <c r="B147" s="23"/>
      <c r="C147" s="23"/>
      <c r="D147" s="24"/>
      <c r="E147" s="24"/>
      <c r="F147" s="24"/>
      <c r="G147" s="24"/>
      <c r="H147" s="10" t="str">
        <f t="shared" si="64"/>
        <v/>
      </c>
      <c r="I147" s="10" t="str">
        <f t="shared" si="65"/>
        <v/>
      </c>
      <c r="J147" s="24"/>
      <c r="K147" s="13" t="str">
        <f t="shared" si="66"/>
        <v/>
      </c>
      <c r="L147" s="13" t="str">
        <f t="shared" si="67"/>
        <v/>
      </c>
      <c r="M147" s="25"/>
      <c r="N147" s="25"/>
      <c r="O147" s="22"/>
      <c r="P147" s="11" t="str">
        <f t="shared" si="68"/>
        <v/>
      </c>
      <c r="Q147" s="26"/>
      <c r="R147" s="22"/>
      <c r="S147" s="29" t="str">
        <f t="shared" si="69"/>
        <v/>
      </c>
      <c r="T147" s="12" t="str">
        <f t="shared" si="70"/>
        <v/>
      </c>
      <c r="U147" s="12" t="str">
        <f t="shared" si="71"/>
        <v/>
      </c>
      <c r="V147" s="12" t="str">
        <f>IF(AND($B147="",$C147=""),"",HLOOKUP(VLOOKUP($B$1,'Cidade-ER'!$A:$B,2,0),$AP$6:$BB147,ROW()-5,0))</f>
        <v/>
      </c>
      <c r="W147" s="12" t="str">
        <f t="shared" si="72"/>
        <v/>
      </c>
      <c r="X147" s="12" t="str">
        <f t="shared" si="73"/>
        <v/>
      </c>
      <c r="Y147" s="14" t="str">
        <f t="shared" si="74"/>
        <v/>
      </c>
      <c r="Z147" s="12" t="str">
        <f t="shared" si="75"/>
        <v/>
      </c>
      <c r="AA147" s="12" t="str">
        <f>IF(AND($B147="",$C147=""),"",(Sarjeta!$C$17^(5/3))*(Sarjeta!$C$16^(-2/3))*(ABS($K147)^0.5)/Sarjeta!$C$14*1000*2)</f>
        <v/>
      </c>
      <c r="AB147" s="12" t="str">
        <f>IF(AND($B147="",$C147=""),"",(Sarjeta!$C$17/Sarjeta!$C$16)^(2/3)*(ABS($K147)^0.5)/Sarjeta!$C$14)</f>
        <v/>
      </c>
      <c r="AC147" s="36" t="str">
        <f>IF(AND($B147="",$C147=""),"",IF(Z147&lt;AA147,0,MAX(ROUND(Z147/AA147,0)*2,ROUNDUP(ROUND(Z147/Sarjeta!$C$19,0)/2,0)*2)))</f>
        <v/>
      </c>
      <c r="AD147" s="26"/>
      <c r="AE147" s="27"/>
      <c r="AF147" s="32" t="str">
        <f>IF(OR($AE147="",AND($B147="",$C147="")),"",IF(ISERROR(VLOOKUP(AL147,Coeficientes!$A:$C,3,1)),0.05,VLOOKUP(AL147,Coeficientes!$A:$C,3,1)))</f>
        <v/>
      </c>
      <c r="AG147" s="12" t="str">
        <f t="shared" si="63"/>
        <v/>
      </c>
      <c r="AH147" s="30"/>
      <c r="AI147" s="31"/>
      <c r="AJ147" s="48" t="str">
        <f t="shared" si="76"/>
        <v/>
      </c>
      <c r="AK147" s="48" t="str">
        <f t="shared" si="77"/>
        <v/>
      </c>
      <c r="AL147" s="48" t="str">
        <f t="shared" si="78"/>
        <v/>
      </c>
      <c r="AM147" s="48" t="str">
        <f>IF(AND($B147="",$C147=""),"",VLOOKUP($AF147,Coeficientes!$C:$D,2,0))</f>
        <v/>
      </c>
      <c r="AN147" s="48" t="str">
        <f t="shared" si="79"/>
        <v/>
      </c>
      <c r="AO147" s="48" t="str">
        <f t="shared" si="80"/>
        <v/>
      </c>
      <c r="AP147" s="48" t="str">
        <f t="shared" si="81"/>
        <v/>
      </c>
      <c r="AQ147" s="48" t="str">
        <f t="shared" si="82"/>
        <v/>
      </c>
      <c r="AR147" s="48" t="str">
        <f t="shared" si="83"/>
        <v/>
      </c>
      <c r="AS147" s="48" t="str">
        <f t="shared" si="84"/>
        <v/>
      </c>
      <c r="AT147" s="48" t="str">
        <f t="shared" si="85"/>
        <v/>
      </c>
      <c r="AU147" s="48" t="str">
        <f t="shared" si="86"/>
        <v/>
      </c>
      <c r="AV147" s="48" t="str">
        <f t="shared" si="87"/>
        <v/>
      </c>
      <c r="AW147" s="48" t="str">
        <f t="shared" si="88"/>
        <v/>
      </c>
      <c r="AX147" s="48" t="str">
        <f t="shared" si="89"/>
        <v/>
      </c>
      <c r="AY147" s="48" t="str">
        <f t="shared" si="90"/>
        <v/>
      </c>
      <c r="AZ147" s="48" t="str">
        <f t="shared" si="91"/>
        <v/>
      </c>
      <c r="BA147" s="48" t="str">
        <f t="shared" si="92"/>
        <v/>
      </c>
      <c r="BB147" s="48" t="str">
        <f t="shared" si="93"/>
        <v/>
      </c>
    </row>
    <row r="148" spans="1:54" x14ac:dyDescent="0.2">
      <c r="A148" s="30"/>
      <c r="B148" s="23"/>
      <c r="C148" s="23"/>
      <c r="D148" s="24"/>
      <c r="E148" s="24"/>
      <c r="F148" s="24"/>
      <c r="G148" s="24"/>
      <c r="H148" s="10" t="str">
        <f t="shared" si="64"/>
        <v/>
      </c>
      <c r="I148" s="10" t="str">
        <f t="shared" si="65"/>
        <v/>
      </c>
      <c r="J148" s="24"/>
      <c r="K148" s="13" t="str">
        <f t="shared" si="66"/>
        <v/>
      </c>
      <c r="L148" s="13" t="str">
        <f t="shared" si="67"/>
        <v/>
      </c>
      <c r="M148" s="25"/>
      <c r="N148" s="25"/>
      <c r="O148" s="22"/>
      <c r="P148" s="11" t="str">
        <f t="shared" si="68"/>
        <v/>
      </c>
      <c r="Q148" s="26"/>
      <c r="R148" s="22"/>
      <c r="S148" s="29" t="str">
        <f t="shared" si="69"/>
        <v/>
      </c>
      <c r="T148" s="12" t="str">
        <f t="shared" si="70"/>
        <v/>
      </c>
      <c r="U148" s="12" t="str">
        <f t="shared" si="71"/>
        <v/>
      </c>
      <c r="V148" s="12" t="str">
        <f>IF(AND($B148="",$C148=""),"",HLOOKUP(VLOOKUP($B$1,'Cidade-ER'!$A:$B,2,0),$AP$6:$BB148,ROW()-5,0))</f>
        <v/>
      </c>
      <c r="W148" s="12" t="str">
        <f t="shared" si="72"/>
        <v/>
      </c>
      <c r="X148" s="12" t="str">
        <f t="shared" si="73"/>
        <v/>
      </c>
      <c r="Y148" s="14" t="str">
        <f t="shared" si="74"/>
        <v/>
      </c>
      <c r="Z148" s="12" t="str">
        <f t="shared" si="75"/>
        <v/>
      </c>
      <c r="AA148" s="12" t="str">
        <f>IF(AND($B148="",$C148=""),"",(Sarjeta!$C$17^(5/3))*(Sarjeta!$C$16^(-2/3))*(ABS($K148)^0.5)/Sarjeta!$C$14*1000*2)</f>
        <v/>
      </c>
      <c r="AB148" s="12" t="str">
        <f>IF(AND($B148="",$C148=""),"",(Sarjeta!$C$17/Sarjeta!$C$16)^(2/3)*(ABS($K148)^0.5)/Sarjeta!$C$14)</f>
        <v/>
      </c>
      <c r="AC148" s="36" t="str">
        <f>IF(AND($B148="",$C148=""),"",IF(Z148&lt;AA148,0,MAX(ROUND(Z148/AA148,0)*2,ROUNDUP(ROUND(Z148/Sarjeta!$C$19,0)/2,0)*2)))</f>
        <v/>
      </c>
      <c r="AD148" s="26"/>
      <c r="AE148" s="27"/>
      <c r="AF148" s="32" t="str">
        <f>IF(OR($AE148="",AND($B148="",$C148="")),"",IF(ISERROR(VLOOKUP(AL148,Coeficientes!$A:$C,3,1)),0.05,VLOOKUP(AL148,Coeficientes!$A:$C,3,1)))</f>
        <v/>
      </c>
      <c r="AG148" s="12" t="str">
        <f t="shared" si="63"/>
        <v/>
      </c>
      <c r="AH148" s="30"/>
      <c r="AI148" s="31"/>
      <c r="AJ148" s="48" t="str">
        <f t="shared" si="76"/>
        <v/>
      </c>
      <c r="AK148" s="48" t="str">
        <f t="shared" si="77"/>
        <v/>
      </c>
      <c r="AL148" s="48" t="str">
        <f t="shared" si="78"/>
        <v/>
      </c>
      <c r="AM148" s="48" t="str">
        <f>IF(AND($B148="",$C148=""),"",VLOOKUP($AF148,Coeficientes!$C:$D,2,0))</f>
        <v/>
      </c>
      <c r="AN148" s="48" t="str">
        <f t="shared" si="79"/>
        <v/>
      </c>
      <c r="AO148" s="48" t="str">
        <f t="shared" si="80"/>
        <v/>
      </c>
      <c r="AP148" s="48" t="str">
        <f t="shared" si="81"/>
        <v/>
      </c>
      <c r="AQ148" s="48" t="str">
        <f t="shared" si="82"/>
        <v/>
      </c>
      <c r="AR148" s="48" t="str">
        <f t="shared" si="83"/>
        <v/>
      </c>
      <c r="AS148" s="48" t="str">
        <f t="shared" si="84"/>
        <v/>
      </c>
      <c r="AT148" s="48" t="str">
        <f t="shared" si="85"/>
        <v/>
      </c>
      <c r="AU148" s="48" t="str">
        <f t="shared" si="86"/>
        <v/>
      </c>
      <c r="AV148" s="48" t="str">
        <f t="shared" si="87"/>
        <v/>
      </c>
      <c r="AW148" s="48" t="str">
        <f t="shared" si="88"/>
        <v/>
      </c>
      <c r="AX148" s="48" t="str">
        <f t="shared" si="89"/>
        <v/>
      </c>
      <c r="AY148" s="48" t="str">
        <f t="shared" si="90"/>
        <v/>
      </c>
      <c r="AZ148" s="48" t="str">
        <f t="shared" si="91"/>
        <v/>
      </c>
      <c r="BA148" s="48" t="str">
        <f t="shared" si="92"/>
        <v/>
      </c>
      <c r="BB148" s="48" t="str">
        <f t="shared" si="93"/>
        <v/>
      </c>
    </row>
    <row r="149" spans="1:54" x14ac:dyDescent="0.2">
      <c r="A149" s="30"/>
      <c r="B149" s="23"/>
      <c r="C149" s="23"/>
      <c r="D149" s="24"/>
      <c r="E149" s="24"/>
      <c r="F149" s="24"/>
      <c r="G149" s="24"/>
      <c r="H149" s="10" t="str">
        <f t="shared" si="64"/>
        <v/>
      </c>
      <c r="I149" s="10" t="str">
        <f t="shared" si="65"/>
        <v/>
      </c>
      <c r="J149" s="24"/>
      <c r="K149" s="13" t="str">
        <f t="shared" si="66"/>
        <v/>
      </c>
      <c r="L149" s="13" t="str">
        <f t="shared" si="67"/>
        <v/>
      </c>
      <c r="M149" s="25"/>
      <c r="N149" s="25"/>
      <c r="O149" s="22"/>
      <c r="P149" s="11" t="str">
        <f t="shared" si="68"/>
        <v/>
      </c>
      <c r="Q149" s="26"/>
      <c r="R149" s="22"/>
      <c r="S149" s="29" t="str">
        <f t="shared" si="69"/>
        <v/>
      </c>
      <c r="T149" s="12" t="str">
        <f t="shared" si="70"/>
        <v/>
      </c>
      <c r="U149" s="12" t="str">
        <f t="shared" si="71"/>
        <v/>
      </c>
      <c r="V149" s="12" t="str">
        <f>IF(AND($B149="",$C149=""),"",HLOOKUP(VLOOKUP($B$1,'Cidade-ER'!$A:$B,2,0),$AP$6:$BB149,ROW()-5,0))</f>
        <v/>
      </c>
      <c r="W149" s="12" t="str">
        <f t="shared" si="72"/>
        <v/>
      </c>
      <c r="X149" s="12" t="str">
        <f t="shared" si="73"/>
        <v/>
      </c>
      <c r="Y149" s="14" t="str">
        <f t="shared" si="74"/>
        <v/>
      </c>
      <c r="Z149" s="12" t="str">
        <f t="shared" si="75"/>
        <v/>
      </c>
      <c r="AA149" s="12" t="str">
        <f>IF(AND($B149="",$C149=""),"",(Sarjeta!$C$17^(5/3))*(Sarjeta!$C$16^(-2/3))*(ABS($K149)^0.5)/Sarjeta!$C$14*1000*2)</f>
        <v/>
      </c>
      <c r="AB149" s="12" t="str">
        <f>IF(AND($B149="",$C149=""),"",(Sarjeta!$C$17/Sarjeta!$C$16)^(2/3)*(ABS($K149)^0.5)/Sarjeta!$C$14)</f>
        <v/>
      </c>
      <c r="AC149" s="36" t="str">
        <f>IF(AND($B149="",$C149=""),"",IF(Z149&lt;AA149,0,MAX(ROUND(Z149/AA149,0)*2,ROUNDUP(ROUND(Z149/Sarjeta!$C$19,0)/2,0)*2)))</f>
        <v/>
      </c>
      <c r="AD149" s="26"/>
      <c r="AE149" s="27"/>
      <c r="AF149" s="32" t="str">
        <f>IF(OR($AE149="",AND($B149="",$C149="")),"",IF(ISERROR(VLOOKUP(AL149,Coeficientes!$A:$C,3,1)),0.05,VLOOKUP(AL149,Coeficientes!$A:$C,3,1)))</f>
        <v/>
      </c>
      <c r="AG149" s="12" t="str">
        <f t="shared" si="63"/>
        <v/>
      </c>
      <c r="AH149" s="30"/>
      <c r="AI149" s="31"/>
      <c r="AJ149" s="48" t="str">
        <f t="shared" si="76"/>
        <v/>
      </c>
      <c r="AK149" s="48" t="str">
        <f t="shared" si="77"/>
        <v/>
      </c>
      <c r="AL149" s="48" t="str">
        <f t="shared" si="78"/>
        <v/>
      </c>
      <c r="AM149" s="48" t="str">
        <f>IF(AND($B149="",$C149=""),"",VLOOKUP($AF149,Coeficientes!$C:$D,2,0))</f>
        <v/>
      </c>
      <c r="AN149" s="48" t="str">
        <f t="shared" si="79"/>
        <v/>
      </c>
      <c r="AO149" s="48" t="str">
        <f t="shared" si="80"/>
        <v/>
      </c>
      <c r="AP149" s="48" t="str">
        <f t="shared" si="81"/>
        <v/>
      </c>
      <c r="AQ149" s="48" t="str">
        <f t="shared" si="82"/>
        <v/>
      </c>
      <c r="AR149" s="48" t="str">
        <f t="shared" si="83"/>
        <v/>
      </c>
      <c r="AS149" s="48" t="str">
        <f t="shared" si="84"/>
        <v/>
      </c>
      <c r="AT149" s="48" t="str">
        <f t="shared" si="85"/>
        <v/>
      </c>
      <c r="AU149" s="48" t="str">
        <f t="shared" si="86"/>
        <v/>
      </c>
      <c r="AV149" s="48" t="str">
        <f t="shared" si="87"/>
        <v/>
      </c>
      <c r="AW149" s="48" t="str">
        <f t="shared" si="88"/>
        <v/>
      </c>
      <c r="AX149" s="48" t="str">
        <f t="shared" si="89"/>
        <v/>
      </c>
      <c r="AY149" s="48" t="str">
        <f t="shared" si="90"/>
        <v/>
      </c>
      <c r="AZ149" s="48" t="str">
        <f t="shared" si="91"/>
        <v/>
      </c>
      <c r="BA149" s="48" t="str">
        <f t="shared" si="92"/>
        <v/>
      </c>
      <c r="BB149" s="48" t="str">
        <f t="shared" si="93"/>
        <v/>
      </c>
    </row>
    <row r="150" spans="1:54" x14ac:dyDescent="0.2">
      <c r="A150" s="30"/>
      <c r="B150" s="23"/>
      <c r="C150" s="23"/>
      <c r="D150" s="24"/>
      <c r="E150" s="24"/>
      <c r="F150" s="24"/>
      <c r="G150" s="24"/>
      <c r="H150" s="10" t="str">
        <f t="shared" si="64"/>
        <v/>
      </c>
      <c r="I150" s="10" t="str">
        <f t="shared" si="65"/>
        <v/>
      </c>
      <c r="J150" s="24"/>
      <c r="K150" s="13" t="str">
        <f t="shared" si="66"/>
        <v/>
      </c>
      <c r="L150" s="13" t="str">
        <f t="shared" si="67"/>
        <v/>
      </c>
      <c r="M150" s="25"/>
      <c r="N150" s="25"/>
      <c r="O150" s="22"/>
      <c r="P150" s="11" t="str">
        <f t="shared" si="68"/>
        <v/>
      </c>
      <c r="Q150" s="26"/>
      <c r="R150" s="22"/>
      <c r="S150" s="29" t="str">
        <f t="shared" si="69"/>
        <v/>
      </c>
      <c r="T150" s="12" t="str">
        <f t="shared" si="70"/>
        <v/>
      </c>
      <c r="U150" s="12" t="str">
        <f t="shared" si="71"/>
        <v/>
      </c>
      <c r="V150" s="12" t="str">
        <f>IF(AND($B150="",$C150=""),"",HLOOKUP(VLOOKUP($B$1,'Cidade-ER'!$A:$B,2,0),$AP$6:$BB150,ROW()-5,0))</f>
        <v/>
      </c>
      <c r="W150" s="12" t="str">
        <f t="shared" si="72"/>
        <v/>
      </c>
      <c r="X150" s="12" t="str">
        <f t="shared" si="73"/>
        <v/>
      </c>
      <c r="Y150" s="14" t="str">
        <f t="shared" si="74"/>
        <v/>
      </c>
      <c r="Z150" s="12" t="str">
        <f t="shared" si="75"/>
        <v/>
      </c>
      <c r="AA150" s="12" t="str">
        <f>IF(AND($B150="",$C150=""),"",(Sarjeta!$C$17^(5/3))*(Sarjeta!$C$16^(-2/3))*(ABS($K150)^0.5)/Sarjeta!$C$14*1000*2)</f>
        <v/>
      </c>
      <c r="AB150" s="12" t="str">
        <f>IF(AND($B150="",$C150=""),"",(Sarjeta!$C$17/Sarjeta!$C$16)^(2/3)*(ABS($K150)^0.5)/Sarjeta!$C$14)</f>
        <v/>
      </c>
      <c r="AC150" s="36" t="str">
        <f>IF(AND($B150="",$C150=""),"",IF(Z150&lt;AA150,0,MAX(ROUND(Z150/AA150,0)*2,ROUNDUP(ROUND(Z150/Sarjeta!$C$19,0)/2,0)*2)))</f>
        <v/>
      </c>
      <c r="AD150" s="26"/>
      <c r="AE150" s="27"/>
      <c r="AF150" s="32" t="str">
        <f>IF(OR($AE150="",AND($B150="",$C150="")),"",IF(ISERROR(VLOOKUP(AL150,Coeficientes!$A:$C,3,1)),0.05,VLOOKUP(AL150,Coeficientes!$A:$C,3,1)))</f>
        <v/>
      </c>
      <c r="AG150" s="12" t="str">
        <f t="shared" si="63"/>
        <v/>
      </c>
      <c r="AH150" s="30"/>
      <c r="AI150" s="31"/>
      <c r="AJ150" s="48" t="str">
        <f t="shared" si="76"/>
        <v/>
      </c>
      <c r="AK150" s="48" t="str">
        <f t="shared" si="77"/>
        <v/>
      </c>
      <c r="AL150" s="48" t="str">
        <f t="shared" si="78"/>
        <v/>
      </c>
      <c r="AM150" s="48" t="str">
        <f>IF(AND($B150="",$C150=""),"",VLOOKUP($AF150,Coeficientes!$C:$D,2,0))</f>
        <v/>
      </c>
      <c r="AN150" s="48" t="str">
        <f t="shared" si="79"/>
        <v/>
      </c>
      <c r="AO150" s="48" t="str">
        <f t="shared" si="80"/>
        <v/>
      </c>
      <c r="AP150" s="48" t="str">
        <f t="shared" si="81"/>
        <v/>
      </c>
      <c r="AQ150" s="48" t="str">
        <f t="shared" si="82"/>
        <v/>
      </c>
      <c r="AR150" s="48" t="str">
        <f t="shared" si="83"/>
        <v/>
      </c>
      <c r="AS150" s="48" t="str">
        <f t="shared" si="84"/>
        <v/>
      </c>
      <c r="AT150" s="48" t="str">
        <f t="shared" si="85"/>
        <v/>
      </c>
      <c r="AU150" s="48" t="str">
        <f t="shared" si="86"/>
        <v/>
      </c>
      <c r="AV150" s="48" t="str">
        <f t="shared" si="87"/>
        <v/>
      </c>
      <c r="AW150" s="48" t="str">
        <f t="shared" si="88"/>
        <v/>
      </c>
      <c r="AX150" s="48" t="str">
        <f t="shared" si="89"/>
        <v/>
      </c>
      <c r="AY150" s="48" t="str">
        <f t="shared" si="90"/>
        <v/>
      </c>
      <c r="AZ150" s="48" t="str">
        <f t="shared" si="91"/>
        <v/>
      </c>
      <c r="BA150" s="48" t="str">
        <f t="shared" si="92"/>
        <v/>
      </c>
      <c r="BB150" s="48" t="str">
        <f t="shared" si="93"/>
        <v/>
      </c>
    </row>
    <row r="151" spans="1:54" x14ac:dyDescent="0.2">
      <c r="R151" s="22"/>
      <c r="AF151" s="27"/>
    </row>
  </sheetData>
  <sheetProtection sheet="1" objects="1" scenarios="1"/>
  <mergeCells count="36">
    <mergeCell ref="AZ6:AZ7"/>
    <mergeCell ref="BA6:BA7"/>
    <mergeCell ref="BB6:BB7"/>
    <mergeCell ref="Z6:Z7"/>
    <mergeCell ref="AA6:AA7"/>
    <mergeCell ref="AC6:AC7"/>
    <mergeCell ref="AB6:AB7"/>
    <mergeCell ref="AV6:AV7"/>
    <mergeCell ref="AW6:AW7"/>
    <mergeCell ref="AX6:AX7"/>
    <mergeCell ref="AY6:AY7"/>
    <mergeCell ref="AR6:AR7"/>
    <mergeCell ref="AS6:AS7"/>
    <mergeCell ref="AT6:AT7"/>
    <mergeCell ref="AU6:AU7"/>
    <mergeCell ref="AG6:AG7"/>
    <mergeCell ref="AQ6:AQ7"/>
    <mergeCell ref="P6:P7"/>
    <mergeCell ref="Y6:Y7"/>
    <mergeCell ref="AO6:AO7"/>
    <mergeCell ref="AP6:AP7"/>
    <mergeCell ref="AJ6:AJ7"/>
    <mergeCell ref="AH5:AH7"/>
    <mergeCell ref="J6:J7"/>
    <mergeCell ref="L6:L7"/>
    <mergeCell ref="M6:M7"/>
    <mergeCell ref="N6:N7"/>
    <mergeCell ref="K6:K7"/>
    <mergeCell ref="O6:O7"/>
    <mergeCell ref="AK6:AK7"/>
    <mergeCell ref="AL6:AL7"/>
    <mergeCell ref="AM6:AM7"/>
    <mergeCell ref="AN6:AN7"/>
    <mergeCell ref="AF6:AF7"/>
    <mergeCell ref="AE6:AE7"/>
    <mergeCell ref="AD6:AD7"/>
  </mergeCells>
  <phoneticPr fontId="0" type="noConversion"/>
  <conditionalFormatting sqref="AJ8:BB8 AJ10:BB150">
    <cfRule type="expression" dxfId="37" priority="28" stopIfTrue="1">
      <formula>OR($B8&lt;&gt;"",$C8&lt;&gt;"")</formula>
    </cfRule>
  </conditionalFormatting>
  <conditionalFormatting sqref="AH8 A8:J8 M8:Y8 M10:Q15 A10:J15 AH10:AH150 A17:J150 M17:Q150 S10:Y15 S17:Y150 R9:R151 AE8:AE150 AF151">
    <cfRule type="expression" dxfId="36" priority="29" stopIfTrue="1">
      <formula>OR($B8&lt;&gt;"",$C8&lt;&gt;"")</formula>
    </cfRule>
  </conditionalFormatting>
  <conditionalFormatting sqref="L8 L10:L15 L17:L150">
    <cfRule type="expression" dxfId="35" priority="30" stopIfTrue="1">
      <formula>AND(OR($B8&lt;&gt;"",$C8&lt;&gt;""),L8&lt;0.003)</formula>
    </cfRule>
    <cfRule type="expression" dxfId="34" priority="31" stopIfTrue="1">
      <formula>OR($B8&lt;&gt;"",$C8&lt;&gt;"")</formula>
    </cfRule>
  </conditionalFormatting>
  <conditionalFormatting sqref="K8 K10:K15 K17:K150">
    <cfRule type="expression" dxfId="33" priority="32" stopIfTrue="1">
      <formula>OR($B8&lt;&gt;"",$C8&lt;&gt;"")</formula>
    </cfRule>
  </conditionalFormatting>
  <conditionalFormatting sqref="Z8:AA8 Z10:AA15 AD10:AD15 AD17:AD150 Z17:AA150 AC8:AC150">
    <cfRule type="expression" dxfId="32" priority="33" stopIfTrue="1">
      <formula>OR($B8&lt;&gt;"",$C8&lt;&gt;"")</formula>
    </cfRule>
  </conditionalFormatting>
  <conditionalFormatting sqref="AB8 AB10:AB15 AB17:AB150">
    <cfRule type="expression" dxfId="31" priority="34" stopIfTrue="1">
      <formula>AND(OR($B8&lt;&gt;"",$C8&lt;&gt;""),AB8&gt;3)</formula>
    </cfRule>
    <cfRule type="expression" dxfId="30" priority="35" stopIfTrue="1">
      <formula>OR($B8&lt;&gt;"",$C8&lt;&gt;"")</formula>
    </cfRule>
  </conditionalFormatting>
  <conditionalFormatting sqref="AF8:AF150">
    <cfRule type="expression" dxfId="29" priority="36" stopIfTrue="1">
      <formula>AND($AF8&lt;&gt;"Menor",OR($B8&lt;&gt;"",$C8&lt;&gt;""),AF8&gt;0.85,$AE8&lt;&gt;"")</formula>
    </cfRule>
    <cfRule type="expression" dxfId="28" priority="37" stopIfTrue="1">
      <formula>OR($B8&lt;&gt;"",$C8&lt;&gt;"")</formula>
    </cfRule>
  </conditionalFormatting>
  <conditionalFormatting sqref="AG8:AG150">
    <cfRule type="expression" dxfId="27" priority="38" stopIfTrue="1">
      <formula>AND(OR($B8&lt;&gt;"",$C8&lt;&gt;""),AG8&gt;4.5,$AF8&lt;&gt;"Menor",$AG8&lt;&gt;"")</formula>
    </cfRule>
    <cfRule type="expression" dxfId="26" priority="39" stopIfTrue="1">
      <formula>OR($B8&lt;&gt;"",$C8&lt;&gt;"")</formula>
    </cfRule>
  </conditionalFormatting>
  <conditionalFormatting sqref="AJ9:BB150">
    <cfRule type="expression" dxfId="25" priority="16" stopIfTrue="1">
      <formula>OR($B9&lt;&gt;"",$C9&lt;&gt;"")</formula>
    </cfRule>
  </conditionalFormatting>
  <conditionalFormatting sqref="AH9:AH150 A9:J15 M9:Q15 A17:J150 M17:Q150 S9:Y15 S17:Y150">
    <cfRule type="expression" dxfId="24" priority="17" stopIfTrue="1">
      <formula>OR($B9&lt;&gt;"",$C9&lt;&gt;"")</formula>
    </cfRule>
  </conditionalFormatting>
  <conditionalFormatting sqref="L9:L15 L17:L150">
    <cfRule type="expression" dxfId="23" priority="18" stopIfTrue="1">
      <formula>AND(OR($B9&lt;&gt;"",$C9&lt;&gt;""),L9&lt;0.003)</formula>
    </cfRule>
    <cfRule type="expression" dxfId="22" priority="19" stopIfTrue="1">
      <formula>OR($B9&lt;&gt;"",$C9&lt;&gt;"")</formula>
    </cfRule>
  </conditionalFormatting>
  <conditionalFormatting sqref="K9:K15 K17:K150">
    <cfRule type="expression" dxfId="21" priority="20" stopIfTrue="1">
      <formula>OR($B9&lt;&gt;"",$C9&lt;&gt;"")</formula>
    </cfRule>
  </conditionalFormatting>
  <conditionalFormatting sqref="Z9:AA15 Z17:AA150">
    <cfRule type="expression" dxfId="20" priority="21" stopIfTrue="1">
      <formula>OR($B9&lt;&gt;"",$C9&lt;&gt;"")</formula>
    </cfRule>
  </conditionalFormatting>
  <conditionalFormatting sqref="AB9:AB15 AB17:AB150">
    <cfRule type="expression" dxfId="19" priority="22" stopIfTrue="1">
      <formula>AND(OR($B9&lt;&gt;"",$C9&lt;&gt;""),AB9&gt;3)</formula>
    </cfRule>
    <cfRule type="expression" dxfId="18" priority="23" stopIfTrue="1">
      <formula>OR($B9&lt;&gt;"",$C9&lt;&gt;"")</formula>
    </cfRule>
  </conditionalFormatting>
  <conditionalFormatting sqref="AF9:AF15 AF17:AF150">
    <cfRule type="expression" dxfId="17" priority="24" stopIfTrue="1">
      <formula>AND($AF9&lt;&gt;"Menor",OR($B9&lt;&gt;"",$C9&lt;&gt;""),AF9&gt;0.85)</formula>
    </cfRule>
    <cfRule type="expression" dxfId="16" priority="25" stopIfTrue="1">
      <formula>OR($B9&lt;&gt;"",$C9&lt;&gt;"")</formula>
    </cfRule>
  </conditionalFormatting>
  <conditionalFormatting sqref="AG9:AG15 AG17:AG150">
    <cfRule type="expression" dxfId="15" priority="26" stopIfTrue="1">
      <formula>AND(OR($B9&lt;&gt;"",$C9&lt;&gt;""),AG9&gt;4.5,$AF9&lt;&gt;"Menor")</formula>
    </cfRule>
    <cfRule type="expression" dxfId="14" priority="27" stopIfTrue="1">
      <formula>OR($B9&lt;&gt;"",$C9&lt;&gt;"")</formula>
    </cfRule>
  </conditionalFormatting>
  <conditionalFormatting sqref="AD8">
    <cfRule type="expression" dxfId="13" priority="15" stopIfTrue="1">
      <formula>OR($B8&lt;&gt;"",$C8&lt;&gt;"")</formula>
    </cfRule>
  </conditionalFormatting>
  <conditionalFormatting sqref="AD9:AD15 AD17:AD150">
    <cfRule type="expression" dxfId="12" priority="13" stopIfTrue="1">
      <formula>OR($B9&lt;&gt;"",$C9&lt;&gt;"")</formula>
    </cfRule>
  </conditionalFormatting>
  <conditionalFormatting sqref="A16:J16 M16:Q16 S16:Y16">
    <cfRule type="expression" dxfId="11" priority="2" stopIfTrue="1">
      <formula>OR($B16&lt;&gt;"",$C16&lt;&gt;"")</formula>
    </cfRule>
  </conditionalFormatting>
  <conditionalFormatting sqref="L16">
    <cfRule type="expression" dxfId="10" priority="3" stopIfTrue="1">
      <formula>AND(OR($B16&lt;&gt;"",$C16&lt;&gt;""),L16&lt;0.003)</formula>
    </cfRule>
    <cfRule type="expression" dxfId="9" priority="4" stopIfTrue="1">
      <formula>OR($B16&lt;&gt;"",$C16&lt;&gt;"")</formula>
    </cfRule>
  </conditionalFormatting>
  <conditionalFormatting sqref="K16">
    <cfRule type="expression" dxfId="8" priority="5" stopIfTrue="1">
      <formula>OR($B16&lt;&gt;"",$C16&lt;&gt;"")</formula>
    </cfRule>
  </conditionalFormatting>
  <conditionalFormatting sqref="Z16:AA16">
    <cfRule type="expression" dxfId="7" priority="6" stopIfTrue="1">
      <formula>OR($B16&lt;&gt;"",$C16&lt;&gt;"")</formula>
    </cfRule>
  </conditionalFormatting>
  <conditionalFormatting sqref="AB16">
    <cfRule type="expression" dxfId="6" priority="7" stopIfTrue="1">
      <formula>AND(OR($B16&lt;&gt;"",$C16&lt;&gt;""),AB16&gt;3)</formula>
    </cfRule>
    <cfRule type="expression" dxfId="5" priority="8" stopIfTrue="1">
      <formula>OR($B16&lt;&gt;"",$C16&lt;&gt;"")</formula>
    </cfRule>
  </conditionalFormatting>
  <conditionalFormatting sqref="AF16">
    <cfRule type="expression" dxfId="4" priority="9" stopIfTrue="1">
      <formula>AND($AF16&lt;&gt;"Menor",OR($B16&lt;&gt;"",$C16&lt;&gt;""),AF16&gt;0.85)</formula>
    </cfRule>
    <cfRule type="expression" dxfId="3" priority="10" stopIfTrue="1">
      <formula>OR($B16&lt;&gt;"",$C16&lt;&gt;"")</formula>
    </cfRule>
  </conditionalFormatting>
  <conditionalFormatting sqref="AG16">
    <cfRule type="expression" dxfId="2" priority="11" stopIfTrue="1">
      <formula>AND(OR($B16&lt;&gt;"",$C16&lt;&gt;""),AG16&gt;4.5,$AF16&lt;&gt;"Menor")</formula>
    </cfRule>
    <cfRule type="expression" dxfId="1" priority="12" stopIfTrue="1">
      <formula>OR($B16&lt;&gt;"",$C16&lt;&gt;"")</formula>
    </cfRule>
  </conditionalFormatting>
  <conditionalFormatting sqref="AD16">
    <cfRule type="expression" dxfId="0" priority="1" stopIfTrue="1">
      <formula>OR($B16&lt;&gt;"",$C16&lt;&gt;"")</formula>
    </cfRule>
  </conditionalFormatting>
  <dataValidations count="2">
    <dataValidation type="decimal" operator="greaterThanOrEqual" allowBlank="1" showInputMessage="1" showErrorMessage="1" errorTitle="Recobrimento mínimo" error="Esta distância não deve ser inferior a 0,60 metros." sqref="F8:G150">
      <formula1>0.6</formula1>
    </dataValidation>
    <dataValidation type="whole" allowBlank="1" showInputMessage="1" showErrorMessage="1" sqref="AD8:AD150">
      <formula1>1</formula1>
      <formula2>3</formula2>
    </dataValidation>
  </dataValidations>
  <pageMargins left="0.39370078740157483" right="0.39370078740157483" top="0.39370078740157483" bottom="0.59055118110236227" header="0.51181102362204722" footer="0.51181102362204722"/>
  <pageSetup paperSize="9" scale="50" orientation="landscape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errorTitle="Coeficiente de impermeabilização" error="Favor utilizar os coeficientes propostos">
          <x14:formula1>
            <xm:f>'Valid. Dados'!$A$2:$A$6</xm:f>
          </x14:formula1>
          <xm:sqref>R8:R151</xm:sqref>
        </x14:dataValidation>
        <x14:dataValidation type="list" allowBlank="1" showInputMessage="1" showErrorMessage="1" errorTitle="Diâmetro comercial" error="Favor utilizar os diâmetros propostos">
          <x14:formula1>
            <xm:f>'Valid. Dados'!$B$2:$B$9</xm:f>
          </x14:formula1>
          <xm:sqref>AE8:AE150 AF151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3</vt:i4>
      </vt:variant>
    </vt:vector>
  </HeadingPairs>
  <TitlesOfParts>
    <vt:vector size="8" baseType="lpstr">
      <vt:lpstr>Cidade-ER</vt:lpstr>
      <vt:lpstr>Coeficientes</vt:lpstr>
      <vt:lpstr>Valid. Dados</vt:lpstr>
      <vt:lpstr>Sarjeta</vt:lpstr>
      <vt:lpstr>Planilha de cálculo</vt:lpstr>
      <vt:lpstr>'Planilha de cálculo'!Area_de_impressao</vt:lpstr>
      <vt:lpstr>Sarjeta!Area_de_impressao</vt:lpstr>
      <vt:lpstr>'Planilha de cálculo'!Titulos_de_impressao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Bruna</dc:creator>
  <cp:lastModifiedBy>Bruna Giovanna Brustolin</cp:lastModifiedBy>
  <cp:lastPrinted>2013-05-06T12:53:11Z</cp:lastPrinted>
  <dcterms:created xsi:type="dcterms:W3CDTF">2013-04-09T17:14:45Z</dcterms:created>
  <dcterms:modified xsi:type="dcterms:W3CDTF">2021-08-18T11:43:34Z</dcterms:modified>
</cp:coreProperties>
</file>