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CD\ORÇAMENTO\"/>
    </mc:Choice>
  </mc:AlternateContent>
  <xr:revisionPtr revIDLastSave="0" documentId="8_{2AB81F73-4AFB-41E6-87E3-FF4DF90E624B}" xr6:coauthVersionLast="45" xr6:coauthVersionMax="45" xr10:uidLastSave="{00000000-0000-0000-0000-000000000000}"/>
  <bookViews>
    <workbookView xWindow="3345" yWindow="1440" windowWidth="19200" windowHeight="11385" tabRatio="749" activeTab="3" xr2:uid="{00000000-000D-0000-FFFF-FFFF00000000}"/>
  </bookViews>
  <sheets>
    <sheet name="RESUMO" sheetId="21" r:id="rId1"/>
    <sheet name="Serviços iniciais" sheetId="52" r:id="rId2"/>
    <sheet name="Habitação" sheetId="53" r:id="rId3"/>
    <sheet name="Infraestrutura" sheetId="44" r:id="rId4"/>
    <sheet name="Elementos diversos" sheetId="55" r:id="rId5"/>
    <sheet name="TABELA DE MEDIÇÃO E FATURAMENTO" sheetId="46" r:id="rId6"/>
    <sheet name="Planilha3" sheetId="54" state="hidden" r:id="rId7"/>
    <sheet name="Cronograma FF" sheetId="38" r:id="rId8"/>
    <sheet name="COMPOSIÇÕES DE PREÇOS INFRA" sheetId="57" r:id="rId9"/>
    <sheet name="COMPOSIÇÕES DE PREÇO UNITÁRIO" sheetId="51" r:id="rId10"/>
    <sheet name="NÃO INCIDENTE" sheetId="56" r:id="rId11"/>
    <sheet name="BDI - INFRAESTRUTURA" sheetId="49" r:id="rId12"/>
    <sheet name="BDI - HABITAÇÃO" sheetId="48" r:id="rId13"/>
    <sheet name="ENCARGOS SOCIAIS" sheetId="50" state="hidden" r:id="rId14"/>
    <sheet name="GERAL" sheetId="45" state="hidden" r:id="rId15"/>
  </sheets>
  <externalReferences>
    <externalReference r:id="rId16"/>
    <externalReference r:id="rId17"/>
    <externalReference r:id="rId18"/>
    <externalReference r:id="rId19"/>
  </externalReferences>
  <definedNames>
    <definedName name="___xlnm.Print_Area_2" localSheetId="11">#REF!</definedName>
    <definedName name="___xlnm.Print_Area_3" localSheetId="11">#REF!</definedName>
    <definedName name="___xlnm.Print_Area_3_1" localSheetId="11">#REF!</definedName>
    <definedName name="___xlnm.Print_Titles_2" localSheetId="11">#REF!</definedName>
    <definedName name="___xlnm.Print_Titles_3" localSheetId="11">#REF!</definedName>
    <definedName name="__xlnm.Print_Area_2" localSheetId="12">#REF!</definedName>
    <definedName name="__xlnm.Print_Area_3" localSheetId="12">#REF!</definedName>
    <definedName name="__xlnm.Print_Area_3_1" localSheetId="12">#REF!</definedName>
    <definedName name="__xlnm.Print_Titles_2" localSheetId="12">#REF!</definedName>
    <definedName name="__xlnm.Print_Titles_3" localSheetId="12">#REF!</definedName>
    <definedName name="_xlnm._FilterDatabase" localSheetId="9" hidden="1">'COMPOSIÇÕES DE PREÇO UNITÁRIO'!$A$10:$I$24</definedName>
    <definedName name="_xlnm._FilterDatabase" localSheetId="8" hidden="1">'COMPOSIÇÕES DE PREÇOS INFRA'!#REF!</definedName>
    <definedName name="_xlnm._FilterDatabase" localSheetId="0" hidden="1">RESUMO!$A$10:$V$46</definedName>
    <definedName name="_tt1">"$#REF!.$A$1:$B$3278"</definedName>
    <definedName name="_xlnm.Print_Area" localSheetId="12">'BDI - HABITAÇÃO'!$A$1:$H$39</definedName>
    <definedName name="_xlnm.Print_Area" localSheetId="11">'BDI - INFRAESTRUTURA'!$A$1:$H$40</definedName>
    <definedName name="_xlnm.Print_Area" localSheetId="9">'COMPOSIÇÕES DE PREÇO UNITÁRIO'!$A$1:$I$51</definedName>
    <definedName name="_xlnm.Print_Area" localSheetId="8">'COMPOSIÇÕES DE PREÇOS INFRA'!$A$1:$I$38</definedName>
    <definedName name="_xlnm.Print_Area" localSheetId="4">'Elementos diversos'!$A$1:$N$154</definedName>
    <definedName name="_xlnm.Print_Area" localSheetId="13">'ENCARGOS SOCIAIS'!$A$1:$H$58</definedName>
    <definedName name="_xlnm.Print_Area" localSheetId="2">Habitação!$A$1:$O$105</definedName>
    <definedName name="_xlnm.Print_Area" localSheetId="3">Infraestrutura!$A$1:$O$122</definedName>
    <definedName name="_xlnm.Print_Area" localSheetId="10">'NÃO INCIDENTE'!$A$1:$K$25</definedName>
    <definedName name="_xlnm.Print_Area" localSheetId="0">RESUMO!$A$1:$G$59</definedName>
    <definedName name="_xlnm.Print_Area" localSheetId="1">'Serviços iniciais'!$A$1:$O$35</definedName>
    <definedName name="_xlnm.Print_Area" localSheetId="5">'TABELA DE MEDIÇÃO E FATURAMENTO'!$A$1:$G$54</definedName>
    <definedName name="BBB">#REF!</definedName>
    <definedName name="DXBDFG">"$#REF!.$A$1:$B$2408"</definedName>
    <definedName name="Excel_BuiltIn__FilterDatabase">"$#REF!.$B$8:$M$9"</definedName>
    <definedName name="Excel_BuiltIn__FilterDatabase_1">"$#REF!.$A$1:$F$5248"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" localSheetId="12">#REF!</definedName>
    <definedName name="Excel_BuiltIn__FilterDatabase_6" localSheetId="11">#REF!</definedName>
    <definedName name="Excel_BuiltIn__FilterDatabase_6" localSheetId="9">#REF!</definedName>
    <definedName name="Excel_BuiltIn__FilterDatabase_6" localSheetId="8">#REF!</definedName>
    <definedName name="Excel_BuiltIn__FilterDatabase_6" localSheetId="13">#REF!</definedName>
    <definedName name="Excel_BuiltIn__FilterDatabase_6" localSheetId="0">RESUMO!$A$10:$B$30</definedName>
    <definedName name="Excel_BuiltIn__FilterDatabase_6" localSheetId="5">#REF!</definedName>
    <definedName name="Excel_BuiltIn__FilterDatabase_6">#REF!</definedName>
    <definedName name="Excel_BuiltIn__FilterDatabase_6_1">NA()</definedName>
    <definedName name="Excel_BuiltIn__FilterDatabase_6_2">"#REF!"</definedName>
    <definedName name="Excel_BuiltIn__FilterDatabase_6_3">"#REF!"</definedName>
    <definedName name="Excel_BuiltIn_Print_Area">"$#REF!.$B$1:$N$9"</definedName>
    <definedName name="Excel_BuiltIn_Print_Area_7">"#REF!"</definedName>
    <definedName name="Excel_BuiltIn_Print_Area_7_1">"#REF!"</definedName>
    <definedName name="Excel_BuiltIn_Print_Area_7_1_1">"#REF!"</definedName>
    <definedName name="Excel_BuiltIn_Print_Area_7_1_1_1">"#REF!"</definedName>
    <definedName name="Excel_BuiltIn_Print_Area_7_1_1_1_1">"#REF!"</definedName>
    <definedName name="Excel_BuiltIn_Print_Area_7_1_1_1_1_1">"#REF!"</definedName>
    <definedName name="Excel_BuiltIn_Print_Area_7_1_1_1_1_1_1">"#REF!"</definedName>
    <definedName name="Excel_BuiltIn_Print_Area_7_1_1_1_1_1_2">"#REF!"</definedName>
    <definedName name="Excel_BuiltIn_Print_Area_7_1_1_1_1_1_3">"#REF!"</definedName>
    <definedName name="Excel_BuiltIn_Print_Area_7_1_1_1_1_2">"#REF!"</definedName>
    <definedName name="Excel_BuiltIn_Print_Area_7_1_1_1_1_3">"#REF!"</definedName>
    <definedName name="Excel_BuiltIn_Print_Area_7_1_1_1_2">"#REF!"</definedName>
    <definedName name="Excel_BuiltIn_Print_Area_7_1_1_1_3">"#REF!"</definedName>
    <definedName name="Excel_BuiltIn_Print_Area_7_1_1_2">"#REF!"</definedName>
    <definedName name="Excel_BuiltIn_Print_Area_7_1_1_3">"#REF!"</definedName>
    <definedName name="Excel_BuiltIn_Print_Area_7_1_2">"#REF!"</definedName>
    <definedName name="Excel_BuiltIn_Print_Area_7_1_3">"#REF!"</definedName>
    <definedName name="Excel_BuiltIn_Print_Area_7_2">"#REF!"</definedName>
    <definedName name="Excel_BuiltIn_Print_Area_7_3">"#REF!"</definedName>
    <definedName name="Excel_BuiltIn_Print_Titles">"$#REF!.$A$1:$AMJ$9"</definedName>
    <definedName name="k">"$#REF!.$A$1:$B$2408"</definedName>
    <definedName name="OBRA" localSheetId="12">'[1]FOLHA FECHAMENTO'!$O$9:$O$13</definedName>
    <definedName name="OBRA" localSheetId="11">'[1]FOLHA FECHAMENTO'!$O$9:$O$13</definedName>
    <definedName name="OBRA" localSheetId="9">#REF!</definedName>
    <definedName name="OBRA" localSheetId="8">#REF!</definedName>
    <definedName name="OBRA" localSheetId="13">#REF!</definedName>
    <definedName name="OBRA" localSheetId="5">#REF!</definedName>
    <definedName name="OBRA">'[2]FOLHA FECHAMENTO'!$O$9:$O$13</definedName>
    <definedName name="opções">[3]FRE!$AM$262:$AM$264</definedName>
    <definedName name="Plan1">"$#REF!.$A$1:$B$2408"</definedName>
    <definedName name="REF">'[4] '!$F$464:$F$489</definedName>
    <definedName name="switch" localSheetId="12">#REF!</definedName>
    <definedName name="switch" localSheetId="11">#REF!</definedName>
    <definedName name="T" localSheetId="12">#REF!</definedName>
    <definedName name="T" localSheetId="11">#REF!</definedName>
    <definedName name="T" localSheetId="9">#REF!</definedName>
    <definedName name="T" localSheetId="8">#REF!</definedName>
    <definedName name="T" localSheetId="13">#REF!</definedName>
    <definedName name="T">#REF!</definedName>
    <definedName name="teste">"$#REF!.$A$1:$B$3278"</definedName>
    <definedName name="_xlnm.Print_Titles" localSheetId="9">'COMPOSIÇÕES DE PREÇO UNITÁRIO'!$8:$9</definedName>
    <definedName name="_xlnm.Print_Titles" localSheetId="8">'COMPOSIÇÕES DE PREÇOS INFRA'!$8:$9</definedName>
    <definedName name="_xlnm.Print_Titles" localSheetId="7">'Cronograma FF'!$A:$D,'Cronograma FF'!$10:$12</definedName>
    <definedName name="_xlnm.Print_Titles" localSheetId="0">RESUMO!$10:$10</definedName>
    <definedName name="Z_39FA8DCB_7FE1_4377_9C2C_3A6C28B9DCE8_.wvu.PrintArea" localSheetId="9" hidden="1">'COMPOSIÇÕES DE PREÇO UNITÁRIO'!$A$8:$I$24</definedName>
    <definedName name="Z_39FA8DCB_7FE1_4377_9C2C_3A6C28B9DCE8_.wvu.PrintArea" localSheetId="8" hidden="1">'COMPOSIÇÕES DE PREÇOS INFRA'!$A$8:$I$9</definedName>
    <definedName name="Z_60131786_0F54_49F5_B695_1A5DD0544ED6_.wvu.PrintArea" localSheetId="9" hidden="1">'COMPOSIÇÕES DE PREÇO UNITÁRIO'!$A$8:$C$24</definedName>
    <definedName name="Z_60131786_0F54_49F5_B695_1A5DD0544ED6_.wvu.PrintArea" localSheetId="8" hidden="1">'COMPOSIÇÕES DE PREÇOS INFRA'!$A$8:$C$9</definedName>
    <definedName name="Z_E9EF4FFF_2A51_4B23_8A33_7F2B85269ACF_.wvu.PrintArea_7">"#REF!"</definedName>
    <definedName name="Z_E9EF4FFF_2A51_4B23_8A33_7F2B85269ACF_.wvu.PrintArea_7_1">"#REF!"</definedName>
    <definedName name="Z_E9EF4FFF_2A51_4B23_8A33_7F2B85269ACF_.wvu.PrintArea_7_2">"#REF!"</definedName>
    <definedName name="Z_E9EF4FFF_2A51_4B23_8A33_7F2B85269ACF_.wvu.PrintArea_7_3">"#REF!"</definedName>
    <definedName name="Z_E9EF4FFF_2A51_4B23_8A33_7F2B85269ACF_.wvu.Rows_2" localSheetId="9">(#REF!,#REF!,#REF!,#REF!,#REF!,#REF!,#REF!,#REF!,#REF!,#REF!,#REF!,#REF!,#REF!)</definedName>
    <definedName name="Z_E9EF4FFF_2A51_4B23_8A33_7F2B85269ACF_.wvu.Rows_2" localSheetId="8">(#REF!,#REF!,#REF!,#REF!,#REF!,#REF!,#REF!,#REF!,#REF!,#REF!,#REF!,#REF!,#REF!)</definedName>
    <definedName name="Z_E9EF4FFF_2A51_4B23_8A33_7F2B85269ACF_.wvu.Rows_2">("#REF!,#REF!,#REF!,#REF!,#REF!,#REF!,#REF!,#REF!,#REF!,#REF!,#REF!,#REF!,#REF!)")</definedName>
    <definedName name="Z_E9EF4FFF_2A51_4B23_8A33_7F2B85269ACF_.wvu.Rows_2_1">("#REF!,#REF!,#REF!,#REF!,#REF!,#REF!,#REF!,#REF!,#REF!,#REF!,#REF!,#REF!,#REF!)")</definedName>
    <definedName name="Z_E9EF4FFF_2A51_4B23_8A33_7F2B85269ACF_.wvu.Rows_2_2">("#REF!,#REF!,#REF!,#REF!,#REF!,#REF!,#REF!,#REF!,#REF!,#REF!,#REF!,#REF!,#REF!)")</definedName>
    <definedName name="Z_E9EF4FFF_2A51_4B23_8A33_7F2B85269ACF_.wvu.Rows_2_3">("#REF!,#REF!,#REF!,#REF!,#REF!,#REF!,#REF!,#REF!,#REF!,#REF!,#REF!,#REF!,#REF!)")</definedName>
    <definedName name="Z_EBC8F422_5E67_469B_8659_30B1245AF0DB_.wvu.PrintArea" localSheetId="9" hidden="1">'COMPOSIÇÕES DE PREÇO UNITÁRIO'!$A$8:$C$24</definedName>
    <definedName name="Z_EBC8F422_5E67_469B_8659_30B1245AF0DB_.wvu.PrintArea" localSheetId="8" hidden="1">'COMPOSIÇÕES DE PREÇOS INFRA'!$A$8:$C$9</definedName>
  </definedNames>
  <calcPr calcId="181029"/>
</workbook>
</file>

<file path=xl/calcChain.xml><?xml version="1.0" encoding="utf-8"?>
<calcChain xmlns="http://schemas.openxmlformats.org/spreadsheetml/2006/main">
  <c r="G54" i="44" l="1"/>
  <c r="H54" i="44" s="1"/>
  <c r="G50" i="44"/>
  <c r="H53" i="44"/>
  <c r="I53" i="44" s="1"/>
  <c r="M53" i="44" s="1"/>
  <c r="J53" i="44"/>
  <c r="K53" i="44"/>
  <c r="J54" i="44"/>
  <c r="H55" i="44"/>
  <c r="I55" i="44" s="1"/>
  <c r="M55" i="44" s="1"/>
  <c r="J55" i="44"/>
  <c r="K55" i="44"/>
  <c r="L55" i="44"/>
  <c r="E53" i="44"/>
  <c r="E52" i="44"/>
  <c r="G67" i="44"/>
  <c r="G69" i="44"/>
  <c r="K69" i="44" s="1"/>
  <c r="G71" i="44"/>
  <c r="G72" i="44"/>
  <c r="G73" i="44"/>
  <c r="G74" i="44" s="1"/>
  <c r="G66" i="44"/>
  <c r="K66" i="44" s="1"/>
  <c r="F74" i="44"/>
  <c r="F70" i="44"/>
  <c r="J70" i="44" s="1"/>
  <c r="F68" i="44"/>
  <c r="J68" i="44" s="1"/>
  <c r="G85" i="44"/>
  <c r="G86" i="44"/>
  <c r="E21" i="57"/>
  <c r="G81" i="44"/>
  <c r="F80" i="44"/>
  <c r="G80" i="44" s="1"/>
  <c r="H65" i="44"/>
  <c r="I65" i="44" s="1"/>
  <c r="M65" i="44" s="1"/>
  <c r="J65" i="44"/>
  <c r="K65" i="44"/>
  <c r="J66" i="44"/>
  <c r="H67" i="44"/>
  <c r="L67" i="44" s="1"/>
  <c r="J67" i="44"/>
  <c r="K67" i="44"/>
  <c r="J69" i="44"/>
  <c r="H71" i="44"/>
  <c r="L71" i="44" s="1"/>
  <c r="J71" i="44"/>
  <c r="K71" i="44"/>
  <c r="H72" i="44"/>
  <c r="L72" i="44" s="1"/>
  <c r="J72" i="44"/>
  <c r="K72" i="44"/>
  <c r="J73" i="44"/>
  <c r="J74" i="44"/>
  <c r="H75" i="44"/>
  <c r="L75" i="44" s="1"/>
  <c r="J75" i="44"/>
  <c r="K75" i="44"/>
  <c r="H76" i="44"/>
  <c r="L76" i="44" s="1"/>
  <c r="J76" i="44"/>
  <c r="K76" i="44"/>
  <c r="H77" i="44"/>
  <c r="I77" i="44" s="1"/>
  <c r="M77" i="44" s="1"/>
  <c r="J77" i="44"/>
  <c r="K77" i="44"/>
  <c r="H78" i="44"/>
  <c r="I78" i="44" s="1"/>
  <c r="M78" i="44" s="1"/>
  <c r="J78" i="44"/>
  <c r="K78" i="44"/>
  <c r="M146" i="55"/>
  <c r="G145" i="55"/>
  <c r="F145" i="55"/>
  <c r="G139" i="55"/>
  <c r="F139" i="55"/>
  <c r="T141" i="55"/>
  <c r="U141" i="55" s="1"/>
  <c r="H140" i="55"/>
  <c r="I140" i="55" s="1"/>
  <c r="M140" i="55" s="1"/>
  <c r="J140" i="55"/>
  <c r="K140" i="55"/>
  <c r="L140" i="55"/>
  <c r="E140" i="55"/>
  <c r="G137" i="55"/>
  <c r="V142" i="55"/>
  <c r="W142" i="55" s="1"/>
  <c r="T142" i="55"/>
  <c r="U142" i="55" s="1"/>
  <c r="F142" i="55"/>
  <c r="F143" i="55"/>
  <c r="K54" i="44" l="1"/>
  <c r="I54" i="44"/>
  <c r="M54" i="44" s="1"/>
  <c r="L54" i="44"/>
  <c r="L53" i="44"/>
  <c r="K73" i="44"/>
  <c r="H69" i="44"/>
  <c r="L69" i="44" s="1"/>
  <c r="G70" i="44"/>
  <c r="H70" i="44" s="1"/>
  <c r="I70" i="44" s="1"/>
  <c r="M70" i="44" s="1"/>
  <c r="G68" i="44"/>
  <c r="H68" i="44" s="1"/>
  <c r="H73" i="44"/>
  <c r="I73" i="44" s="1"/>
  <c r="M73" i="44" s="1"/>
  <c r="K74" i="44"/>
  <c r="H74" i="44"/>
  <c r="I74" i="44" s="1"/>
  <c r="M74" i="44" s="1"/>
  <c r="I69" i="44"/>
  <c r="M69" i="44" s="1"/>
  <c r="I72" i="44"/>
  <c r="M72" i="44" s="1"/>
  <c r="H66" i="44"/>
  <c r="I66" i="44" s="1"/>
  <c r="M66" i="44" s="1"/>
  <c r="I67" i="44"/>
  <c r="M67" i="44" s="1"/>
  <c r="L73" i="44"/>
  <c r="L74" i="44"/>
  <c r="K70" i="44"/>
  <c r="I71" i="44"/>
  <c r="M71" i="44" s="1"/>
  <c r="K68" i="44"/>
  <c r="L65" i="44"/>
  <c r="I75" i="44"/>
  <c r="M75" i="44" s="1"/>
  <c r="I76" i="44"/>
  <c r="M76" i="44" s="1"/>
  <c r="L77" i="44"/>
  <c r="L78" i="44"/>
  <c r="L66" i="44"/>
  <c r="V141" i="55"/>
  <c r="W141" i="55" s="1"/>
  <c r="E137" i="55"/>
  <c r="H138" i="55"/>
  <c r="I138" i="55" s="1"/>
  <c r="M138" i="55" s="1"/>
  <c r="J138" i="55"/>
  <c r="K138" i="55"/>
  <c r="H139" i="55"/>
  <c r="I139" i="55" s="1"/>
  <c r="M139" i="55" s="1"/>
  <c r="J139" i="55"/>
  <c r="K139" i="55"/>
  <c r="H141" i="55"/>
  <c r="I141" i="55" s="1"/>
  <c r="M141" i="55" s="1"/>
  <c r="J141" i="55"/>
  <c r="K141" i="55"/>
  <c r="H142" i="55"/>
  <c r="I142" i="55" s="1"/>
  <c r="H143" i="55"/>
  <c r="I143" i="55" s="1"/>
  <c r="H144" i="55"/>
  <c r="I144" i="55" s="1"/>
  <c r="M144" i="55" s="1"/>
  <c r="J144" i="55"/>
  <c r="K144" i="55"/>
  <c r="H145" i="55"/>
  <c r="L145" i="55" s="1"/>
  <c r="J145" i="55"/>
  <c r="K145" i="55"/>
  <c r="E143" i="55"/>
  <c r="J143" i="55" s="1"/>
  <c r="E142" i="55"/>
  <c r="K142" i="55" s="1"/>
  <c r="G135" i="55"/>
  <c r="F135" i="55"/>
  <c r="G133" i="55"/>
  <c r="I68" i="44" l="1"/>
  <c r="M68" i="44" s="1"/>
  <c r="L68" i="44"/>
  <c r="L70" i="44"/>
  <c r="I145" i="55"/>
  <c r="M145" i="55" s="1"/>
  <c r="M143" i="55"/>
  <c r="L144" i="55"/>
  <c r="L139" i="55"/>
  <c r="L138" i="55"/>
  <c r="L143" i="55"/>
  <c r="K143" i="55"/>
  <c r="M142" i="55"/>
  <c r="L142" i="55"/>
  <c r="J142" i="55"/>
  <c r="L141" i="55"/>
  <c r="K135" i="55" l="1"/>
  <c r="J133" i="55"/>
  <c r="G131" i="55"/>
  <c r="K131" i="55" s="1"/>
  <c r="H130" i="55"/>
  <c r="I130" i="55" s="1"/>
  <c r="J131" i="55"/>
  <c r="H132" i="55"/>
  <c r="I132" i="55"/>
  <c r="M132" i="55" s="1"/>
  <c r="J132" i="55"/>
  <c r="K132" i="55"/>
  <c r="L132" i="55"/>
  <c r="H133" i="55"/>
  <c r="L133" i="55" s="1"/>
  <c r="K133" i="55"/>
  <c r="H134" i="55"/>
  <c r="I134" i="55" s="1"/>
  <c r="J134" i="55"/>
  <c r="K134" i="55"/>
  <c r="H135" i="55"/>
  <c r="I135" i="55" s="1"/>
  <c r="M135" i="55" s="1"/>
  <c r="J135" i="55"/>
  <c r="E130" i="55"/>
  <c r="J130" i="55" s="1"/>
  <c r="G127" i="55"/>
  <c r="K127" i="55" s="1"/>
  <c r="E124" i="55"/>
  <c r="J124" i="55" s="1"/>
  <c r="E125" i="55"/>
  <c r="K125" i="55" s="1"/>
  <c r="H124" i="55"/>
  <c r="I124" i="55" s="1"/>
  <c r="H125" i="55"/>
  <c r="I125" i="55" s="1"/>
  <c r="H126" i="55"/>
  <c r="J127" i="55"/>
  <c r="E126" i="55"/>
  <c r="J126" i="55" s="1"/>
  <c r="E123" i="55"/>
  <c r="G38" i="57"/>
  <c r="I38" i="57" s="1"/>
  <c r="H36" i="57"/>
  <c r="I36" i="57" s="1"/>
  <c r="H37" i="57"/>
  <c r="I37" i="57" s="1"/>
  <c r="H35" i="57"/>
  <c r="I35" i="57" s="1"/>
  <c r="G34" i="57"/>
  <c r="I34" i="57" s="1"/>
  <c r="F30" i="57"/>
  <c r="H32" i="57"/>
  <c r="I32" i="57" s="1"/>
  <c r="H33" i="57"/>
  <c r="I33" i="57" s="1"/>
  <c r="G29" i="57"/>
  <c r="G30" i="57"/>
  <c r="G31" i="57"/>
  <c r="I31" i="57" s="1"/>
  <c r="G28" i="57"/>
  <c r="I28" i="57" s="1"/>
  <c r="H106" i="44"/>
  <c r="I106" i="44" s="1"/>
  <c r="M106" i="44" s="1"/>
  <c r="J106" i="44"/>
  <c r="K106" i="44"/>
  <c r="H107" i="44"/>
  <c r="I107" i="44" s="1"/>
  <c r="M107" i="44" s="1"/>
  <c r="J107" i="44"/>
  <c r="K107" i="44"/>
  <c r="H108" i="44"/>
  <c r="I108" i="44" s="1"/>
  <c r="M108" i="44" s="1"/>
  <c r="J108" i="44"/>
  <c r="K108" i="44"/>
  <c r="H109" i="44"/>
  <c r="I109" i="44" s="1"/>
  <c r="M109" i="44" s="1"/>
  <c r="J109" i="44"/>
  <c r="K109" i="44"/>
  <c r="H110" i="44"/>
  <c r="I110" i="44" s="1"/>
  <c r="M110" i="44" s="1"/>
  <c r="J110" i="44"/>
  <c r="K110" i="44"/>
  <c r="H111" i="44"/>
  <c r="I111" i="44" s="1"/>
  <c r="M111" i="44" s="1"/>
  <c r="J111" i="44"/>
  <c r="K111" i="44"/>
  <c r="H112" i="44"/>
  <c r="L112" i="44" s="1"/>
  <c r="J112" i="44"/>
  <c r="K112" i="44"/>
  <c r="H80" i="44"/>
  <c r="I80" i="44" s="1"/>
  <c r="M80" i="44" s="1"/>
  <c r="H81" i="44"/>
  <c r="I81" i="44" s="1"/>
  <c r="M81" i="44" s="1"/>
  <c r="J81" i="44"/>
  <c r="K81" i="44"/>
  <c r="E80" i="44"/>
  <c r="J80" i="44" s="1"/>
  <c r="G14" i="57"/>
  <c r="I14" i="57" s="1"/>
  <c r="F42" i="44"/>
  <c r="F43" i="44"/>
  <c r="G46" i="44"/>
  <c r="F46" i="44"/>
  <c r="L106" i="44" l="1"/>
  <c r="K80" i="44"/>
  <c r="I112" i="44"/>
  <c r="M112" i="44" s="1"/>
  <c r="L109" i="44"/>
  <c r="L108" i="44"/>
  <c r="L80" i="44"/>
  <c r="L81" i="44"/>
  <c r="K130" i="55"/>
  <c r="H131" i="55"/>
  <c r="I131" i="55" s="1"/>
  <c r="M131" i="55" s="1"/>
  <c r="H127" i="55"/>
  <c r="I127" i="55" s="1"/>
  <c r="M127" i="55" s="1"/>
  <c r="L134" i="55"/>
  <c r="M130" i="55"/>
  <c r="J125" i="55"/>
  <c r="L130" i="55"/>
  <c r="I133" i="55"/>
  <c r="M133" i="55" s="1"/>
  <c r="L135" i="55"/>
  <c r="M134" i="55"/>
  <c r="L131" i="55"/>
  <c r="K126" i="55"/>
  <c r="L126" i="55"/>
  <c r="L125" i="55"/>
  <c r="L124" i="55"/>
  <c r="K124" i="55"/>
  <c r="M124" i="55"/>
  <c r="M125" i="55"/>
  <c r="I126" i="55"/>
  <c r="M126" i="55" s="1"/>
  <c r="G27" i="57"/>
  <c r="F19" i="44" s="1"/>
  <c r="I30" i="57"/>
  <c r="I29" i="57"/>
  <c r="H27" i="57"/>
  <c r="G19" i="44" s="1"/>
  <c r="L110" i="44"/>
  <c r="L111" i="44"/>
  <c r="L107" i="44"/>
  <c r="L127" i="55" l="1"/>
  <c r="I27" i="57"/>
  <c r="F27" i="57" s="1"/>
  <c r="E41" i="44" l="1"/>
  <c r="H79" i="44" l="1"/>
  <c r="L79" i="44" s="1"/>
  <c r="J79" i="44"/>
  <c r="K79" i="44"/>
  <c r="H85" i="44"/>
  <c r="L85" i="44" s="1"/>
  <c r="J85" i="44"/>
  <c r="K85" i="44"/>
  <c r="H86" i="44"/>
  <c r="L86" i="44" s="1"/>
  <c r="J86" i="44"/>
  <c r="K86" i="44"/>
  <c r="F84" i="44"/>
  <c r="J84" i="44" s="1"/>
  <c r="F83" i="44"/>
  <c r="G83" i="44" s="1"/>
  <c r="F82" i="44"/>
  <c r="J82" i="44" s="1"/>
  <c r="H42" i="44"/>
  <c r="I42" i="44" s="1"/>
  <c r="M42" i="44" s="1"/>
  <c r="J42" i="44"/>
  <c r="K42" i="44"/>
  <c r="H43" i="44"/>
  <c r="I43" i="44" s="1"/>
  <c r="M43" i="44" s="1"/>
  <c r="J43" i="44"/>
  <c r="K43" i="44"/>
  <c r="H44" i="44"/>
  <c r="I44" i="44" s="1"/>
  <c r="M44" i="44" s="1"/>
  <c r="J44" i="44"/>
  <c r="K44" i="44"/>
  <c r="H45" i="44"/>
  <c r="I45" i="44" s="1"/>
  <c r="M45" i="44" s="1"/>
  <c r="J45" i="44"/>
  <c r="K45" i="44"/>
  <c r="H46" i="44"/>
  <c r="L46" i="44" s="1"/>
  <c r="J46" i="44"/>
  <c r="K46" i="44"/>
  <c r="J83" i="44" l="1"/>
  <c r="G82" i="44"/>
  <c r="K82" i="44" s="1"/>
  <c r="I85" i="44"/>
  <c r="M85" i="44" s="1"/>
  <c r="I86" i="44"/>
  <c r="M86" i="44" s="1"/>
  <c r="I46" i="44"/>
  <c r="M46" i="44" s="1"/>
  <c r="K83" i="44"/>
  <c r="H83" i="44"/>
  <c r="G84" i="44"/>
  <c r="K84" i="44" s="1"/>
  <c r="L42" i="44"/>
  <c r="L45" i="44"/>
  <c r="L44" i="44"/>
  <c r="I79" i="44"/>
  <c r="M79" i="44" s="1"/>
  <c r="L43" i="44"/>
  <c r="G37" i="44"/>
  <c r="K37" i="44" s="1"/>
  <c r="G38" i="44"/>
  <c r="K38" i="44" s="1"/>
  <c r="H36" i="44"/>
  <c r="K36" i="44"/>
  <c r="J37" i="44"/>
  <c r="J38" i="44"/>
  <c r="H82" i="44" l="1"/>
  <c r="H84" i="44"/>
  <c r="I83" i="44"/>
  <c r="M83" i="44" s="1"/>
  <c r="L83" i="44"/>
  <c r="L82" i="44"/>
  <c r="I82" i="44"/>
  <c r="M82" i="44" s="1"/>
  <c r="H38" i="44"/>
  <c r="L38" i="44" s="1"/>
  <c r="H37" i="44"/>
  <c r="I37" i="44" s="1"/>
  <c r="M37" i="44" s="1"/>
  <c r="I36" i="44"/>
  <c r="M36" i="44" s="1"/>
  <c r="L36" i="44"/>
  <c r="J36" i="44"/>
  <c r="L37" i="44" l="1"/>
  <c r="I38" i="44"/>
  <c r="M38" i="44" s="1"/>
  <c r="I84" i="44"/>
  <c r="M84" i="44" s="1"/>
  <c r="L84" i="44"/>
  <c r="F91" i="55" l="1"/>
  <c r="H91" i="55" s="1"/>
  <c r="I91" i="55" s="1"/>
  <c r="M91" i="55" s="1"/>
  <c r="W91" i="55" s="1"/>
  <c r="F90" i="55"/>
  <c r="H90" i="55" s="1"/>
  <c r="I90" i="55" s="1"/>
  <c r="M90" i="55" s="1"/>
  <c r="W90" i="55" s="1"/>
  <c r="F89" i="55"/>
  <c r="H89" i="55" s="1"/>
  <c r="T89" i="55"/>
  <c r="K89" i="55"/>
  <c r="K90" i="55"/>
  <c r="K91" i="55"/>
  <c r="K85" i="55"/>
  <c r="F85" i="55"/>
  <c r="J85" i="55" s="1"/>
  <c r="X82" i="55"/>
  <c r="T90" i="55"/>
  <c r="T91" i="55"/>
  <c r="T72" i="55"/>
  <c r="T85" i="55"/>
  <c r="S69" i="55"/>
  <c r="F71" i="55"/>
  <c r="F70" i="55"/>
  <c r="F69" i="55"/>
  <c r="T40" i="55"/>
  <c r="T36" i="55"/>
  <c r="T37" i="55"/>
  <c r="T38" i="55"/>
  <c r="T39" i="55"/>
  <c r="T41" i="55"/>
  <c r="T42" i="55"/>
  <c r="T43" i="55"/>
  <c r="F40" i="55"/>
  <c r="H40" i="55" s="1"/>
  <c r="F41" i="55"/>
  <c r="H41" i="55" s="1"/>
  <c r="F42" i="55"/>
  <c r="H42" i="55" s="1"/>
  <c r="I42" i="55" s="1"/>
  <c r="M42" i="55" s="1"/>
  <c r="F39" i="55"/>
  <c r="J39" i="55" s="1"/>
  <c r="F38" i="55"/>
  <c r="J38" i="55" s="1"/>
  <c r="F37" i="55"/>
  <c r="H37" i="55" s="1"/>
  <c r="T35" i="55"/>
  <c r="F35" i="55"/>
  <c r="F36" i="55"/>
  <c r="H36" i="55" s="1"/>
  <c r="K36" i="55"/>
  <c r="K37" i="55"/>
  <c r="K38" i="55"/>
  <c r="K39" i="55"/>
  <c r="K40" i="55"/>
  <c r="K41" i="55"/>
  <c r="K42" i="55"/>
  <c r="E35" i="55"/>
  <c r="T66" i="55"/>
  <c r="T18" i="55"/>
  <c r="T19" i="55"/>
  <c r="T20" i="55"/>
  <c r="T17" i="55"/>
  <c r="F20" i="55"/>
  <c r="J91" i="55" l="1"/>
  <c r="J90" i="55"/>
  <c r="L91" i="55"/>
  <c r="U37" i="55"/>
  <c r="U38" i="55"/>
  <c r="U42" i="55"/>
  <c r="U41" i="55"/>
  <c r="U36" i="55"/>
  <c r="U39" i="55"/>
  <c r="U40" i="55"/>
  <c r="H85" i="55"/>
  <c r="J89" i="55"/>
  <c r="L90" i="55"/>
  <c r="L89" i="55"/>
  <c r="I89" i="55"/>
  <c r="M89" i="55" s="1"/>
  <c r="W89" i="55" s="1"/>
  <c r="J42" i="55"/>
  <c r="H39" i="55"/>
  <c r="I39" i="55" s="1"/>
  <c r="M39" i="55" s="1"/>
  <c r="L39" i="55"/>
  <c r="J36" i="55"/>
  <c r="U35" i="55"/>
  <c r="J40" i="55"/>
  <c r="H38" i="55"/>
  <c r="I38" i="55" s="1"/>
  <c r="M38" i="55" s="1"/>
  <c r="L37" i="55"/>
  <c r="I37" i="55"/>
  <c r="M37" i="55" s="1"/>
  <c r="L41" i="55"/>
  <c r="I41" i="55"/>
  <c r="M41" i="55" s="1"/>
  <c r="L40" i="55"/>
  <c r="I40" i="55"/>
  <c r="M40" i="55" s="1"/>
  <c r="L36" i="55"/>
  <c r="I36" i="55"/>
  <c r="M36" i="55" s="1"/>
  <c r="L42" i="55"/>
  <c r="J41" i="55"/>
  <c r="J37" i="55"/>
  <c r="I38" i="46"/>
  <c r="K18" i="46"/>
  <c r="I18" i="46"/>
  <c r="K17" i="46"/>
  <c r="I17" i="46"/>
  <c r="E32" i="51"/>
  <c r="E33" i="51" s="1"/>
  <c r="H33" i="51" s="1"/>
  <c r="I33" i="51" s="1"/>
  <c r="G36" i="51"/>
  <c r="I36" i="51" s="1"/>
  <c r="G35" i="51"/>
  <c r="I35" i="51" s="1"/>
  <c r="G34" i="51"/>
  <c r="G31" i="51" s="1"/>
  <c r="F116" i="55" s="1"/>
  <c r="F34" i="51"/>
  <c r="H32" i="51"/>
  <c r="I32" i="51" s="1"/>
  <c r="I85" i="55" l="1"/>
  <c r="M85" i="55" s="1"/>
  <c r="W85" i="55" s="1"/>
  <c r="L85" i="55"/>
  <c r="L38" i="55"/>
  <c r="H31" i="51"/>
  <c r="G116" i="55" s="1"/>
  <c r="K31" i="51"/>
  <c r="I34" i="51"/>
  <c r="I31" i="51" s="1"/>
  <c r="K32" i="51" s="1"/>
  <c r="F31" i="51" l="1"/>
  <c r="E118" i="55" l="1"/>
  <c r="Q92" i="53" l="1"/>
  <c r="G83" i="53"/>
  <c r="G84" i="53"/>
  <c r="H84" i="53" s="1"/>
  <c r="I84" i="53" s="1"/>
  <c r="M84" i="53" s="1"/>
  <c r="G85" i="53"/>
  <c r="K85" i="53" s="1"/>
  <c r="G86" i="53"/>
  <c r="H86" i="53" s="1"/>
  <c r="I86" i="53" s="1"/>
  <c r="M86" i="53" s="1"/>
  <c r="G87" i="53"/>
  <c r="G88" i="53"/>
  <c r="G89" i="53"/>
  <c r="K89" i="53" s="1"/>
  <c r="G90" i="53"/>
  <c r="K90" i="53" s="1"/>
  <c r="G91" i="53"/>
  <c r="G82" i="53"/>
  <c r="K82" i="53" s="1"/>
  <c r="P63" i="53"/>
  <c r="P24" i="53"/>
  <c r="P23" i="53"/>
  <c r="P22" i="53"/>
  <c r="Q19" i="53"/>
  <c r="R19" i="53" s="1"/>
  <c r="Q12" i="53"/>
  <c r="H83" i="53"/>
  <c r="I83" i="53" s="1"/>
  <c r="M83" i="53" s="1"/>
  <c r="J83" i="53"/>
  <c r="K83" i="53"/>
  <c r="J84" i="53"/>
  <c r="J85" i="53"/>
  <c r="J86" i="53"/>
  <c r="H87" i="53"/>
  <c r="I87" i="53" s="1"/>
  <c r="M87" i="53" s="1"/>
  <c r="J87" i="53"/>
  <c r="K87" i="53"/>
  <c r="H88" i="53"/>
  <c r="L88" i="53" s="1"/>
  <c r="J88" i="53"/>
  <c r="K88" i="53"/>
  <c r="J89" i="53"/>
  <c r="J90" i="53"/>
  <c r="H91" i="53"/>
  <c r="I91" i="53" s="1"/>
  <c r="M91" i="53" s="1"/>
  <c r="J91" i="53"/>
  <c r="K91" i="53"/>
  <c r="K84" i="53" l="1"/>
  <c r="H89" i="53"/>
  <c r="I89" i="53" s="1"/>
  <c r="M89" i="53" s="1"/>
  <c r="K86" i="53"/>
  <c r="H85" i="53"/>
  <c r="I85" i="53" s="1"/>
  <c r="M85" i="53" s="1"/>
  <c r="H90" i="53"/>
  <c r="I90" i="53" s="1"/>
  <c r="M90" i="53" s="1"/>
  <c r="I88" i="53"/>
  <c r="M88" i="53" s="1"/>
  <c r="L85" i="53"/>
  <c r="L84" i="53"/>
  <c r="L89" i="53"/>
  <c r="L86" i="53"/>
  <c r="L83" i="53"/>
  <c r="H82" i="53"/>
  <c r="I82" i="53" s="1"/>
  <c r="M82" i="53" s="1"/>
  <c r="J82" i="53"/>
  <c r="L90" i="53"/>
  <c r="L87" i="53"/>
  <c r="L91" i="53"/>
  <c r="L82" i="53" l="1"/>
  <c r="T37" i="38" l="1"/>
  <c r="Y26" i="53" l="1"/>
  <c r="Z26" i="53"/>
  <c r="Y34" i="53"/>
  <c r="Z34" i="53"/>
  <c r="Y46" i="53"/>
  <c r="Z46" i="53"/>
  <c r="Y52" i="53"/>
  <c r="Z52" i="53"/>
  <c r="Y61" i="53"/>
  <c r="Z61" i="53"/>
  <c r="Y71" i="53"/>
  <c r="Z71" i="53"/>
  <c r="Y78" i="53"/>
  <c r="Z78" i="53"/>
  <c r="Y93" i="53"/>
  <c r="Z93" i="53"/>
  <c r="Y18" i="53"/>
  <c r="Z18" i="53"/>
  <c r="K19" i="44" l="1"/>
  <c r="Z34" i="44" l="1"/>
  <c r="E26" i="57" l="1"/>
  <c r="G26" i="57" s="1"/>
  <c r="I26" i="57" s="1"/>
  <c r="E25" i="57"/>
  <c r="G25" i="57" s="1"/>
  <c r="I25" i="57" s="1"/>
  <c r="E24" i="57"/>
  <c r="G24" i="57" s="1"/>
  <c r="I24" i="57" s="1"/>
  <c r="E23" i="57"/>
  <c r="G23" i="57" s="1"/>
  <c r="I23" i="57" s="1"/>
  <c r="H21" i="57"/>
  <c r="I21" i="57" s="1"/>
  <c r="E22" i="57"/>
  <c r="H22" i="57" s="1"/>
  <c r="I22" i="57" s="1"/>
  <c r="G20" i="57"/>
  <c r="I20" i="57" s="1"/>
  <c r="G16" i="57"/>
  <c r="H15" i="57"/>
  <c r="I15" i="57" s="1"/>
  <c r="H13" i="57"/>
  <c r="I13" i="57" s="1"/>
  <c r="F17" i="57"/>
  <c r="H17" i="57" s="1"/>
  <c r="I17" i="57" s="1"/>
  <c r="H18" i="57"/>
  <c r="I18" i="57" s="1"/>
  <c r="G12" i="57"/>
  <c r="I12" i="57" s="1"/>
  <c r="G11" i="57"/>
  <c r="I11" i="57" s="1"/>
  <c r="G24" i="44"/>
  <c r="G23" i="44"/>
  <c r="J17" i="38"/>
  <c r="H19" i="57" l="1"/>
  <c r="I19" i="57"/>
  <c r="F19" i="57" s="1"/>
  <c r="F87" i="44" s="1"/>
  <c r="G19" i="57"/>
  <c r="G87" i="44" s="1"/>
  <c r="K87" i="44" s="1"/>
  <c r="H10" i="57"/>
  <c r="G39" i="44" s="1"/>
  <c r="G10" i="57"/>
  <c r="F39" i="44" s="1"/>
  <c r="I16" i="57"/>
  <c r="I10" i="57" s="1"/>
  <c r="F10" i="57" s="1"/>
  <c r="N39" i="38"/>
  <c r="H15" i="38"/>
  <c r="S14" i="38"/>
  <c r="Q14" i="38"/>
  <c r="O14" i="38"/>
  <c r="M14" i="38"/>
  <c r="K14" i="38"/>
  <c r="I14" i="38"/>
  <c r="G14" i="38"/>
  <c r="E111" i="55"/>
  <c r="E119" i="55"/>
  <c r="F75" i="55"/>
  <c r="H75" i="55" s="1"/>
  <c r="I75" i="55" s="1"/>
  <c r="K75" i="55"/>
  <c r="T75" i="55"/>
  <c r="J87" i="44" l="1"/>
  <c r="H87" i="44"/>
  <c r="J75" i="55"/>
  <c r="L75" i="55"/>
  <c r="M75" i="55"/>
  <c r="W75" i="55" s="1"/>
  <c r="E64" i="55"/>
  <c r="F18" i="55"/>
  <c r="H18" i="55" s="1"/>
  <c r="I18" i="55" s="1"/>
  <c r="K18" i="55"/>
  <c r="F19" i="55"/>
  <c r="H19" i="55" s="1"/>
  <c r="I19" i="55" s="1"/>
  <c r="E19" i="55"/>
  <c r="K19" i="55" s="1"/>
  <c r="H30" i="51"/>
  <c r="I30" i="51" s="1"/>
  <c r="J29" i="51" s="1"/>
  <c r="G29" i="51"/>
  <c r="I29" i="51" s="1"/>
  <c r="G26" i="51"/>
  <c r="I26" i="51" s="1"/>
  <c r="H27" i="51"/>
  <c r="H25" i="51" s="1"/>
  <c r="G80" i="53" s="1"/>
  <c r="H23" i="51"/>
  <c r="H24" i="51"/>
  <c r="G15" i="21"/>
  <c r="T14" i="38"/>
  <c r="H14" i="38"/>
  <c r="D19" i="38"/>
  <c r="L87" i="44" l="1"/>
  <c r="I87" i="44"/>
  <c r="M87" i="44" s="1"/>
  <c r="I27" i="51"/>
  <c r="I25" i="51" s="1"/>
  <c r="F25" i="51" s="1"/>
  <c r="G25" i="51"/>
  <c r="F80" i="53" s="1"/>
  <c r="J18" i="55"/>
  <c r="L19" i="55"/>
  <c r="M19" i="55"/>
  <c r="L18" i="55"/>
  <c r="M18" i="55"/>
  <c r="J19" i="55"/>
  <c r="H28" i="51"/>
  <c r="I28" i="51"/>
  <c r="F28" i="51" s="1"/>
  <c r="G28" i="51"/>
  <c r="E14" i="56"/>
  <c r="G14" i="56"/>
  <c r="F14" i="56"/>
  <c r="H14" i="56" s="1"/>
  <c r="G13" i="56"/>
  <c r="F13" i="56"/>
  <c r="I13" i="56" s="1"/>
  <c r="G11" i="56"/>
  <c r="J11" i="56" s="1"/>
  <c r="F11" i="56"/>
  <c r="I11" i="56" s="1"/>
  <c r="J18" i="56"/>
  <c r="I18" i="56"/>
  <c r="J16" i="56"/>
  <c r="I16" i="56"/>
  <c r="J12" i="56"/>
  <c r="I12" i="56"/>
  <c r="H12" i="56"/>
  <c r="K12" i="56" s="1"/>
  <c r="J39" i="38"/>
  <c r="J40" i="38"/>
  <c r="L39" i="38"/>
  <c r="P25" i="38"/>
  <c r="N25" i="38"/>
  <c r="R24" i="38"/>
  <c r="P24" i="38"/>
  <c r="D45" i="38"/>
  <c r="T43" i="38"/>
  <c r="T44" i="38"/>
  <c r="T42" i="38"/>
  <c r="R43" i="38"/>
  <c r="L40" i="38"/>
  <c r="L41" i="38"/>
  <c r="H39" i="38"/>
  <c r="T45" i="38"/>
  <c r="S45" i="38" s="1"/>
  <c r="L37" i="38"/>
  <c r="J37" i="38"/>
  <c r="R35" i="38"/>
  <c r="P35" i="38"/>
  <c r="N32" i="38"/>
  <c r="L32" i="38"/>
  <c r="H32" i="38"/>
  <c r="J32" i="38"/>
  <c r="J31" i="38"/>
  <c r="H31" i="38"/>
  <c r="C45" i="38"/>
  <c r="D37" i="38" s="1"/>
  <c r="D42" i="38"/>
  <c r="D43" i="38"/>
  <c r="F109" i="55"/>
  <c r="H109" i="55" s="1"/>
  <c r="F110" i="55"/>
  <c r="H110" i="55" s="1"/>
  <c r="F111" i="55"/>
  <c r="J111" i="55" s="1"/>
  <c r="F112" i="55"/>
  <c r="J112" i="55" s="1"/>
  <c r="F108" i="55"/>
  <c r="J108" i="55" s="1"/>
  <c r="E109" i="55"/>
  <c r="L7" i="54"/>
  <c r="L6" i="54"/>
  <c r="K6" i="54"/>
  <c r="K7" i="54"/>
  <c r="F106" i="55"/>
  <c r="J106" i="55" s="1"/>
  <c r="F105" i="55"/>
  <c r="J105" i="55" s="1"/>
  <c r="F101" i="55"/>
  <c r="J101" i="55" s="1"/>
  <c r="F102" i="55"/>
  <c r="J102" i="55" s="1"/>
  <c r="F103" i="55"/>
  <c r="H103" i="55" s="1"/>
  <c r="F100" i="55"/>
  <c r="J100" i="55" s="1"/>
  <c r="F98" i="55"/>
  <c r="J98" i="55" s="1"/>
  <c r="F97" i="55"/>
  <c r="J97" i="55" s="1"/>
  <c r="F94" i="55"/>
  <c r="H94" i="55" s="1"/>
  <c r="F95" i="55"/>
  <c r="H95" i="55" s="1"/>
  <c r="F93" i="55"/>
  <c r="J93" i="55" s="1"/>
  <c r="L9" i="54"/>
  <c r="K8" i="54"/>
  <c r="J8" i="54"/>
  <c r="T94" i="55"/>
  <c r="F88" i="55"/>
  <c r="H88" i="55" s="1"/>
  <c r="F87" i="55"/>
  <c r="J87" i="55" s="1"/>
  <c r="F86" i="55"/>
  <c r="H86" i="55" s="1"/>
  <c r="F84" i="55"/>
  <c r="J84" i="55" s="1"/>
  <c r="F83" i="55"/>
  <c r="J83" i="55" s="1"/>
  <c r="H19" i="54"/>
  <c r="G19" i="54"/>
  <c r="F19" i="54"/>
  <c r="F81" i="55"/>
  <c r="J81" i="55" s="1"/>
  <c r="F80" i="55"/>
  <c r="J80" i="55" s="1"/>
  <c r="F78" i="55"/>
  <c r="H78" i="55" s="1"/>
  <c r="N4" i="54"/>
  <c r="M4" i="54"/>
  <c r="F74" i="55"/>
  <c r="H74" i="55" s="1"/>
  <c r="F76" i="55"/>
  <c r="H76" i="55" s="1"/>
  <c r="F73" i="55"/>
  <c r="J73" i="55" s="1"/>
  <c r="H70" i="55"/>
  <c r="T107" i="55"/>
  <c r="T104" i="55"/>
  <c r="T96" i="55"/>
  <c r="T99" i="55"/>
  <c r="T68" i="55"/>
  <c r="F119" i="55"/>
  <c r="J119" i="55" s="1"/>
  <c r="J118" i="55"/>
  <c r="F117" i="55"/>
  <c r="H117" i="55" s="1"/>
  <c r="J116" i="55"/>
  <c r="F115" i="55"/>
  <c r="J115" i="55" s="1"/>
  <c r="F62" i="55"/>
  <c r="H62" i="55" s="1"/>
  <c r="I62" i="55" s="1"/>
  <c r="F63" i="55"/>
  <c r="J63" i="55" s="1"/>
  <c r="F65" i="55"/>
  <c r="H65" i="55" s="1"/>
  <c r="I65" i="55" s="1"/>
  <c r="F64" i="55"/>
  <c r="H64" i="55" s="1"/>
  <c r="F61" i="55"/>
  <c r="H61" i="55" s="1"/>
  <c r="I61" i="55" s="1"/>
  <c r="E61" i="55"/>
  <c r="E62" i="55"/>
  <c r="E65" i="55"/>
  <c r="K65" i="55" s="1"/>
  <c r="T61" i="55"/>
  <c r="F59" i="55"/>
  <c r="J59" i="55" s="1"/>
  <c r="F58" i="55"/>
  <c r="J58" i="55" s="1"/>
  <c r="F55" i="55"/>
  <c r="J55" i="55" s="1"/>
  <c r="F56" i="55"/>
  <c r="H56" i="55" s="1"/>
  <c r="I56" i="55" s="1"/>
  <c r="F54" i="55"/>
  <c r="H54" i="55" s="1"/>
  <c r="E56" i="55"/>
  <c r="K56" i="55" s="1"/>
  <c r="E30" i="55"/>
  <c r="K30" i="55" s="1"/>
  <c r="F53" i="55"/>
  <c r="H53" i="55" s="1"/>
  <c r="F51" i="55"/>
  <c r="J51" i="55" s="1"/>
  <c r="F50" i="55"/>
  <c r="J50" i="55" s="1"/>
  <c r="F48" i="55"/>
  <c r="J48" i="55" s="1"/>
  <c r="F45" i="55"/>
  <c r="H45" i="55" s="1"/>
  <c r="F46" i="55"/>
  <c r="H46" i="55" s="1"/>
  <c r="F47" i="55"/>
  <c r="J47" i="55" s="1"/>
  <c r="F44" i="55"/>
  <c r="H44" i="55" s="1"/>
  <c r="S46" i="55"/>
  <c r="T46" i="55" s="1"/>
  <c r="F30" i="55"/>
  <c r="F31" i="55"/>
  <c r="H31" i="55" s="1"/>
  <c r="F32" i="55"/>
  <c r="H32" i="55" s="1"/>
  <c r="F33" i="55"/>
  <c r="H33" i="55" s="1"/>
  <c r="F34" i="55"/>
  <c r="H34" i="55" s="1"/>
  <c r="H35" i="55"/>
  <c r="F29" i="55"/>
  <c r="H29" i="55" s="1"/>
  <c r="F27" i="55"/>
  <c r="J27" i="55" s="1"/>
  <c r="F26" i="55"/>
  <c r="H26" i="55" s="1"/>
  <c r="F25" i="55"/>
  <c r="J25" i="55" s="1"/>
  <c r="F23" i="55"/>
  <c r="J23" i="55" s="1"/>
  <c r="F22" i="55"/>
  <c r="F15" i="55"/>
  <c r="F13" i="55"/>
  <c r="J69" i="55" s="1"/>
  <c r="F14" i="55"/>
  <c r="S14" i="55"/>
  <c r="V2" i="55"/>
  <c r="V3" i="55"/>
  <c r="V4" i="55"/>
  <c r="V5" i="55"/>
  <c r="V6" i="55"/>
  <c r="V7" i="55"/>
  <c r="V8" i="55"/>
  <c r="V1" i="55"/>
  <c r="T116" i="55"/>
  <c r="U116" i="55" s="1"/>
  <c r="T117" i="55"/>
  <c r="U117" i="55" s="1"/>
  <c r="T118" i="55"/>
  <c r="U118" i="55" s="1"/>
  <c r="T119" i="55"/>
  <c r="U119" i="55" s="1"/>
  <c r="T115" i="55"/>
  <c r="U115" i="55" s="1"/>
  <c r="T70" i="55"/>
  <c r="T71" i="55"/>
  <c r="T73" i="55"/>
  <c r="T74" i="55"/>
  <c r="T76" i="55"/>
  <c r="T78" i="55"/>
  <c r="T80" i="55"/>
  <c r="T81" i="55"/>
  <c r="T83" i="55"/>
  <c r="T84" i="55"/>
  <c r="T86" i="55"/>
  <c r="T87" i="55"/>
  <c r="T88" i="55"/>
  <c r="T93" i="55"/>
  <c r="T95" i="55"/>
  <c r="T77" i="55"/>
  <c r="T97" i="55"/>
  <c r="T98" i="55"/>
  <c r="T79" i="55"/>
  <c r="T100" i="55"/>
  <c r="T101" i="55"/>
  <c r="T102" i="55"/>
  <c r="T103" i="55"/>
  <c r="T82" i="55"/>
  <c r="T105" i="55"/>
  <c r="T106" i="55"/>
  <c r="T92" i="55"/>
  <c r="T108" i="55"/>
  <c r="T109" i="55"/>
  <c r="T110" i="55"/>
  <c r="T111" i="55"/>
  <c r="T112" i="55"/>
  <c r="T69" i="55"/>
  <c r="T22" i="55"/>
  <c r="T23" i="55"/>
  <c r="T25" i="55"/>
  <c r="T26" i="55"/>
  <c r="T27" i="55"/>
  <c r="T29" i="55"/>
  <c r="T30" i="55"/>
  <c r="T31" i="55"/>
  <c r="T32" i="55"/>
  <c r="T33" i="55"/>
  <c r="T34" i="55"/>
  <c r="T44" i="55"/>
  <c r="T45" i="55"/>
  <c r="T47" i="55"/>
  <c r="T48" i="55"/>
  <c r="T50" i="55"/>
  <c r="T51" i="55"/>
  <c r="T53" i="55"/>
  <c r="T54" i="55"/>
  <c r="T55" i="55"/>
  <c r="T56" i="55"/>
  <c r="T58" i="55"/>
  <c r="T59" i="55"/>
  <c r="T62" i="55"/>
  <c r="T63" i="55"/>
  <c r="T64" i="55"/>
  <c r="T65" i="55"/>
  <c r="T13" i="55"/>
  <c r="H137" i="55"/>
  <c r="L137" i="55" s="1"/>
  <c r="J129" i="55"/>
  <c r="K116" i="55"/>
  <c r="K117" i="55"/>
  <c r="K110" i="55"/>
  <c r="K102" i="55"/>
  <c r="K84" i="55"/>
  <c r="K86" i="55"/>
  <c r="K87" i="55"/>
  <c r="K88" i="55"/>
  <c r="K71" i="55"/>
  <c r="K63" i="55"/>
  <c r="K64" i="55"/>
  <c r="K54" i="55"/>
  <c r="K55" i="55"/>
  <c r="K45" i="55"/>
  <c r="K46" i="55"/>
  <c r="K47" i="55"/>
  <c r="K31" i="55"/>
  <c r="K32" i="55"/>
  <c r="K33" i="55"/>
  <c r="K34" i="55"/>
  <c r="K35" i="55"/>
  <c r="K23" i="55"/>
  <c r="K15" i="55"/>
  <c r="K123" i="55"/>
  <c r="K137" i="55"/>
  <c r="K129" i="55"/>
  <c r="K119" i="55"/>
  <c r="K118" i="55"/>
  <c r="K115" i="55"/>
  <c r="K112" i="55"/>
  <c r="K111" i="55"/>
  <c r="K108" i="55"/>
  <c r="K106" i="55"/>
  <c r="K105" i="55"/>
  <c r="K103" i="55"/>
  <c r="K101" i="55"/>
  <c r="K100" i="55"/>
  <c r="K98" i="55"/>
  <c r="K97" i="55"/>
  <c r="K95" i="55"/>
  <c r="K94" i="55"/>
  <c r="K93" i="55"/>
  <c r="K83" i="55"/>
  <c r="K81" i="55"/>
  <c r="K80" i="55"/>
  <c r="K78" i="55"/>
  <c r="K76" i="55"/>
  <c r="K74" i="55"/>
  <c r="K73" i="55"/>
  <c r="K70" i="55"/>
  <c r="K69" i="55"/>
  <c r="K59" i="55"/>
  <c r="K58" i="55"/>
  <c r="K53" i="55"/>
  <c r="K51" i="55"/>
  <c r="K50" i="55"/>
  <c r="K48" i="55"/>
  <c r="K44" i="55"/>
  <c r="K29" i="55"/>
  <c r="K27" i="55"/>
  <c r="K26" i="55"/>
  <c r="K25" i="55"/>
  <c r="H102" i="55" l="1"/>
  <c r="H13" i="56"/>
  <c r="J74" i="55"/>
  <c r="H15" i="55"/>
  <c r="I15" i="55" s="1"/>
  <c r="M15" i="55" s="1"/>
  <c r="J71" i="55"/>
  <c r="T14" i="55"/>
  <c r="S15" i="55"/>
  <c r="T15" i="55" s="1"/>
  <c r="I102" i="55"/>
  <c r="M102" i="55" s="1"/>
  <c r="W102" i="55" s="1"/>
  <c r="I32" i="55"/>
  <c r="M32" i="55" s="1"/>
  <c r="L44" i="55"/>
  <c r="I44" i="55"/>
  <c r="M44" i="55" s="1"/>
  <c r="I64" i="55"/>
  <c r="M64" i="55" s="1"/>
  <c r="I70" i="55"/>
  <c r="M70" i="55" s="1"/>
  <c r="I74" i="55"/>
  <c r="M74" i="55" s="1"/>
  <c r="W74" i="55" s="1"/>
  <c r="I95" i="55"/>
  <c r="M95" i="55" s="1"/>
  <c r="W95" i="55" s="1"/>
  <c r="L26" i="55"/>
  <c r="I26" i="55"/>
  <c r="M26" i="55" s="1"/>
  <c r="I35" i="55"/>
  <c r="M35" i="55" s="1"/>
  <c r="I31" i="55"/>
  <c r="M31" i="55" s="1"/>
  <c r="I88" i="55"/>
  <c r="M88" i="55" s="1"/>
  <c r="W88" i="55" s="1"/>
  <c r="L94" i="55"/>
  <c r="I94" i="55"/>
  <c r="M94" i="55" s="1"/>
  <c r="W94" i="55" s="1"/>
  <c r="L103" i="55"/>
  <c r="I103" i="55"/>
  <c r="M103" i="55" s="1"/>
  <c r="W103" i="55" s="1"/>
  <c r="I34" i="55"/>
  <c r="M34" i="55" s="1"/>
  <c r="I46" i="55"/>
  <c r="M46" i="55" s="1"/>
  <c r="I54" i="55"/>
  <c r="M54" i="55" s="1"/>
  <c r="I117" i="55"/>
  <c r="M117" i="55" s="1"/>
  <c r="X117" i="55" s="1"/>
  <c r="I110" i="55"/>
  <c r="M110" i="55" s="1"/>
  <c r="L29" i="55"/>
  <c r="I29" i="55"/>
  <c r="M29" i="55" s="1"/>
  <c r="I33" i="55"/>
  <c r="M33" i="55" s="1"/>
  <c r="I45" i="55"/>
  <c r="M45" i="55" s="1"/>
  <c r="I53" i="55"/>
  <c r="M53" i="55" s="1"/>
  <c r="I76" i="55"/>
  <c r="M76" i="55" s="1"/>
  <c r="W76" i="55" s="1"/>
  <c r="L78" i="55"/>
  <c r="I78" i="55"/>
  <c r="M78" i="55" s="1"/>
  <c r="L86" i="55"/>
  <c r="I86" i="55"/>
  <c r="M86" i="55" s="1"/>
  <c r="W86" i="55" s="1"/>
  <c r="I109" i="55"/>
  <c r="M109" i="55" s="1"/>
  <c r="H123" i="55"/>
  <c r="I123" i="55" s="1"/>
  <c r="M123" i="55" s="1"/>
  <c r="U123" i="55" s="1"/>
  <c r="J123" i="55"/>
  <c r="J95" i="55"/>
  <c r="H108" i="55"/>
  <c r="J13" i="56"/>
  <c r="J14" i="56"/>
  <c r="J78" i="55"/>
  <c r="H101" i="55"/>
  <c r="J76" i="55"/>
  <c r="J61" i="55"/>
  <c r="J109" i="55"/>
  <c r="J88" i="55"/>
  <c r="J94" i="55"/>
  <c r="I14" i="56"/>
  <c r="H11" i="56"/>
  <c r="K11" i="56" s="1"/>
  <c r="K13" i="56"/>
  <c r="K14" i="56"/>
  <c r="K18" i="56"/>
  <c r="K16" i="56"/>
  <c r="H105" i="55"/>
  <c r="H115" i="55"/>
  <c r="H119" i="55"/>
  <c r="H80" i="55"/>
  <c r="J32" i="55"/>
  <c r="H97" i="55"/>
  <c r="H84" i="55"/>
  <c r="K109" i="55"/>
  <c r="D41" i="38"/>
  <c r="D44" i="38"/>
  <c r="D40" i="38"/>
  <c r="D39" i="38"/>
  <c r="J103" i="55"/>
  <c r="H106" i="55"/>
  <c r="H83" i="55"/>
  <c r="J26" i="55"/>
  <c r="L61" i="55"/>
  <c r="H93" i="55"/>
  <c r="H111" i="55"/>
  <c r="J110" i="55"/>
  <c r="H112" i="55"/>
  <c r="H100" i="55"/>
  <c r="H98" i="55"/>
  <c r="H81" i="55"/>
  <c r="H87" i="55"/>
  <c r="J86" i="55"/>
  <c r="H51" i="55"/>
  <c r="H59" i="55"/>
  <c r="K61" i="55"/>
  <c r="H73" i="55"/>
  <c r="H63" i="55"/>
  <c r="H23" i="55"/>
  <c r="J56" i="55"/>
  <c r="J62" i="55"/>
  <c r="H50" i="55"/>
  <c r="J70" i="55"/>
  <c r="H118" i="55"/>
  <c r="K62" i="55"/>
  <c r="H71" i="55"/>
  <c r="J30" i="55"/>
  <c r="M65" i="55"/>
  <c r="J15" i="55"/>
  <c r="M56" i="55"/>
  <c r="M62" i="55"/>
  <c r="H69" i="55"/>
  <c r="J117" i="55"/>
  <c r="H116" i="55"/>
  <c r="J64" i="55"/>
  <c r="J65" i="55"/>
  <c r="J44" i="55"/>
  <c r="H55" i="55"/>
  <c r="H30" i="55"/>
  <c r="J29" i="55"/>
  <c r="H58" i="55"/>
  <c r="J54" i="55"/>
  <c r="J53" i="55"/>
  <c r="J45" i="55"/>
  <c r="H47" i="55"/>
  <c r="J46" i="55"/>
  <c r="H48" i="55"/>
  <c r="J35" i="55"/>
  <c r="J34" i="55"/>
  <c r="J31" i="55"/>
  <c r="J33" i="55"/>
  <c r="L35" i="55"/>
  <c r="H129" i="55"/>
  <c r="I129" i="55" s="1"/>
  <c r="M129" i="55" s="1"/>
  <c r="S129" i="55" s="1"/>
  <c r="U129" i="55" s="1"/>
  <c r="H27" i="55"/>
  <c r="H25" i="55"/>
  <c r="J137" i="55"/>
  <c r="L46" i="55"/>
  <c r="L62" i="55"/>
  <c r="L117" i="55"/>
  <c r="L110" i="55"/>
  <c r="L109" i="55"/>
  <c r="L33" i="55"/>
  <c r="L45" i="55"/>
  <c r="L56" i="55"/>
  <c r="L54" i="55"/>
  <c r="L65" i="55"/>
  <c r="L64" i="55"/>
  <c r="L88" i="55"/>
  <c r="L31" i="55"/>
  <c r="L34" i="55"/>
  <c r="L102" i="55"/>
  <c r="L32" i="55"/>
  <c r="I137" i="55"/>
  <c r="M137" i="55" s="1"/>
  <c r="S137" i="55" s="1"/>
  <c r="U137" i="55" s="1"/>
  <c r="L95" i="55"/>
  <c r="L70" i="55"/>
  <c r="L76" i="55"/>
  <c r="L74" i="55"/>
  <c r="M61" i="55"/>
  <c r="L53" i="55"/>
  <c r="M148" i="55"/>
  <c r="T28" i="55" s="1"/>
  <c r="K22" i="55"/>
  <c r="J22" i="55"/>
  <c r="H22" i="55"/>
  <c r="K20" i="55"/>
  <c r="J20" i="55"/>
  <c r="H20" i="55"/>
  <c r="K17" i="55"/>
  <c r="J17" i="55"/>
  <c r="H17" i="55"/>
  <c r="K14" i="55"/>
  <c r="J14" i="55"/>
  <c r="H14" i="55"/>
  <c r="K13" i="55"/>
  <c r="J13" i="55"/>
  <c r="H13" i="55"/>
  <c r="Q95" i="53"/>
  <c r="R95" i="53" s="1"/>
  <c r="Q94" i="53"/>
  <c r="R94" i="53" s="1"/>
  <c r="F95" i="53"/>
  <c r="F94" i="53"/>
  <c r="Q80" i="53"/>
  <c r="R80" i="53" s="1"/>
  <c r="Q81" i="53"/>
  <c r="R81" i="53" s="1"/>
  <c r="Q79" i="53"/>
  <c r="R79" i="53" s="1"/>
  <c r="E72" i="53"/>
  <c r="F76" i="53"/>
  <c r="F75" i="53"/>
  <c r="L15" i="55" l="1"/>
  <c r="L123" i="55"/>
  <c r="U82" i="55"/>
  <c r="T16" i="55"/>
  <c r="L25" i="55"/>
  <c r="I25" i="55"/>
  <c r="M25" i="55" s="1"/>
  <c r="I48" i="55"/>
  <c r="M48" i="55" s="1"/>
  <c r="I30" i="55"/>
  <c r="M30" i="55" s="1"/>
  <c r="S43" i="55" s="1"/>
  <c r="I87" i="55"/>
  <c r="M87" i="55" s="1"/>
  <c r="W87" i="55" s="1"/>
  <c r="L112" i="55"/>
  <c r="I112" i="55"/>
  <c r="M112" i="55" s="1"/>
  <c r="I119" i="55"/>
  <c r="M119" i="55" s="1"/>
  <c r="X119" i="55" s="1"/>
  <c r="I14" i="55"/>
  <c r="M14" i="55" s="1"/>
  <c r="L22" i="55"/>
  <c r="I22" i="55"/>
  <c r="M22" i="55" s="1"/>
  <c r="I27" i="55"/>
  <c r="M27" i="55" s="1"/>
  <c r="I55" i="55"/>
  <c r="M55" i="55" s="1"/>
  <c r="I23" i="55"/>
  <c r="M23" i="55" s="1"/>
  <c r="I59" i="55"/>
  <c r="M59" i="55" s="1"/>
  <c r="I81" i="55"/>
  <c r="M81" i="55" s="1"/>
  <c r="W81" i="55" s="1"/>
  <c r="L115" i="55"/>
  <c r="I115" i="55"/>
  <c r="L13" i="55"/>
  <c r="I13" i="55"/>
  <c r="M13" i="55" s="1"/>
  <c r="I47" i="55"/>
  <c r="M47" i="55" s="1"/>
  <c r="L58" i="55"/>
  <c r="I58" i="55"/>
  <c r="M58" i="55" s="1"/>
  <c r="I71" i="55"/>
  <c r="M71" i="55" s="1"/>
  <c r="L50" i="55"/>
  <c r="I50" i="55"/>
  <c r="M50" i="55" s="1"/>
  <c r="I63" i="55"/>
  <c r="M63" i="55" s="1"/>
  <c r="L51" i="55"/>
  <c r="I51" i="55"/>
  <c r="M51" i="55" s="1"/>
  <c r="L98" i="55"/>
  <c r="I98" i="55"/>
  <c r="M98" i="55" s="1"/>
  <c r="L111" i="55"/>
  <c r="I111" i="55"/>
  <c r="M111" i="55" s="1"/>
  <c r="L83" i="55"/>
  <c r="I83" i="55"/>
  <c r="M83" i="55" s="1"/>
  <c r="I84" i="55"/>
  <c r="M84" i="55" s="1"/>
  <c r="L105" i="55"/>
  <c r="I105" i="55"/>
  <c r="M105" i="55" s="1"/>
  <c r="I101" i="55"/>
  <c r="M101" i="55" s="1"/>
  <c r="W101" i="55" s="1"/>
  <c r="I108" i="55"/>
  <c r="M108" i="55" s="1"/>
  <c r="L20" i="55"/>
  <c r="I20" i="55"/>
  <c r="M20" i="55" s="1"/>
  <c r="I17" i="55"/>
  <c r="M17" i="55" s="1"/>
  <c r="I69" i="55"/>
  <c r="M69" i="55" s="1"/>
  <c r="L73" i="55"/>
  <c r="I73" i="55"/>
  <c r="M73" i="55" s="1"/>
  <c r="O77" i="55" s="1"/>
  <c r="L100" i="55"/>
  <c r="I100" i="55"/>
  <c r="M100" i="55" s="1"/>
  <c r="L93" i="55"/>
  <c r="I93" i="55"/>
  <c r="M93" i="55" s="1"/>
  <c r="O96" i="55" s="1"/>
  <c r="L106" i="55"/>
  <c r="I106" i="55"/>
  <c r="M106" i="55" s="1"/>
  <c r="I97" i="55"/>
  <c r="M97" i="55" s="1"/>
  <c r="I80" i="55"/>
  <c r="M80" i="55" s="1"/>
  <c r="I118" i="55"/>
  <c r="M118" i="55" s="1"/>
  <c r="I116" i="55"/>
  <c r="M116" i="55" s="1"/>
  <c r="X116" i="55" s="1"/>
  <c r="L101" i="55"/>
  <c r="L108" i="55"/>
  <c r="V77" i="55"/>
  <c r="O79" i="55"/>
  <c r="L119" i="55"/>
  <c r="L84" i="55"/>
  <c r="U104" i="55"/>
  <c r="T21" i="55"/>
  <c r="M115" i="55"/>
  <c r="X115" i="55" s="1"/>
  <c r="K19" i="56"/>
  <c r="L80" i="55"/>
  <c r="L97" i="55"/>
  <c r="L81" i="55"/>
  <c r="L87" i="55"/>
  <c r="U96" i="55"/>
  <c r="L27" i="55"/>
  <c r="L23" i="55"/>
  <c r="U68" i="55"/>
  <c r="U69" i="55" s="1"/>
  <c r="L63" i="55"/>
  <c r="L71" i="55"/>
  <c r="U92" i="55"/>
  <c r="L59" i="55"/>
  <c r="L47" i="55"/>
  <c r="L55" i="55"/>
  <c r="L116" i="55"/>
  <c r="U77" i="55"/>
  <c r="L118" i="55"/>
  <c r="U72" i="55"/>
  <c r="U75" i="55" s="1"/>
  <c r="U99" i="55"/>
  <c r="U107" i="55"/>
  <c r="U79" i="55"/>
  <c r="L69" i="55"/>
  <c r="L48" i="55"/>
  <c r="L129" i="55"/>
  <c r="L30" i="55"/>
  <c r="T60" i="55"/>
  <c r="T49" i="55"/>
  <c r="T57" i="55"/>
  <c r="T24" i="55"/>
  <c r="T52" i="55"/>
  <c r="L14" i="55"/>
  <c r="L17" i="55"/>
  <c r="F74" i="53"/>
  <c r="F73" i="53"/>
  <c r="F72" i="53"/>
  <c r="Q73" i="53"/>
  <c r="R73" i="53" s="1"/>
  <c r="Q74" i="53"/>
  <c r="R74" i="53" s="1"/>
  <c r="Q75" i="53"/>
  <c r="R75" i="53" s="1"/>
  <c r="Q76" i="53"/>
  <c r="R76" i="53" s="1"/>
  <c r="Q72" i="53"/>
  <c r="R72" i="53" s="1"/>
  <c r="H75" i="53"/>
  <c r="J75" i="53"/>
  <c r="K75" i="53"/>
  <c r="K63" i="53"/>
  <c r="K64" i="53"/>
  <c r="K65" i="53"/>
  <c r="K66" i="53"/>
  <c r="F69" i="53"/>
  <c r="F68" i="53"/>
  <c r="F67" i="53"/>
  <c r="F66" i="53"/>
  <c r="H66" i="53" s="1"/>
  <c r="I66" i="53" s="1"/>
  <c r="F65" i="53"/>
  <c r="H65" i="53" s="1"/>
  <c r="I65" i="53" s="1"/>
  <c r="F64" i="53"/>
  <c r="J64" i="53" s="1"/>
  <c r="F63" i="53"/>
  <c r="H63" i="53" s="1"/>
  <c r="I63" i="53" s="1"/>
  <c r="F62" i="53"/>
  <c r="Q69" i="53"/>
  <c r="R69" i="53" s="1"/>
  <c r="Q68" i="53"/>
  <c r="R68" i="53" s="1"/>
  <c r="Q67" i="53"/>
  <c r="R67" i="53" s="1"/>
  <c r="Q66" i="53"/>
  <c r="R66" i="53" s="1"/>
  <c r="Q65" i="53"/>
  <c r="R65" i="53" s="1"/>
  <c r="Q64" i="53"/>
  <c r="R64" i="53" s="1"/>
  <c r="Q63" i="53"/>
  <c r="R63" i="53" s="1"/>
  <c r="Q62" i="53"/>
  <c r="R62" i="53" s="1"/>
  <c r="U85" i="55" l="1"/>
  <c r="U89" i="55"/>
  <c r="U91" i="55"/>
  <c r="U90" i="55"/>
  <c r="S52" i="55"/>
  <c r="U52" i="55" s="1"/>
  <c r="O52" i="55"/>
  <c r="V82" i="55"/>
  <c r="W82" i="55" s="1"/>
  <c r="V104" i="55"/>
  <c r="W104" i="55" s="1"/>
  <c r="W83" i="55"/>
  <c r="U18" i="55"/>
  <c r="U19" i="55"/>
  <c r="U20" i="55"/>
  <c r="U17" i="55"/>
  <c r="W84" i="55"/>
  <c r="O92" i="55"/>
  <c r="O66" i="55"/>
  <c r="S66" i="55"/>
  <c r="U66" i="55" s="1"/>
  <c r="W80" i="55"/>
  <c r="O82" i="55"/>
  <c r="V79" i="55"/>
  <c r="W79" i="55" s="1"/>
  <c r="O43" i="55"/>
  <c r="O49" i="55"/>
  <c r="S49" i="55"/>
  <c r="U49" i="55" s="1"/>
  <c r="O57" i="55"/>
  <c r="S57" i="55"/>
  <c r="U57" i="55" s="1"/>
  <c r="O60" i="55"/>
  <c r="O28" i="55"/>
  <c r="O104" i="55"/>
  <c r="V68" i="55"/>
  <c r="W68" i="55" s="1"/>
  <c r="O24" i="55"/>
  <c r="O21" i="55"/>
  <c r="V96" i="55"/>
  <c r="W96" i="55" s="1"/>
  <c r="X118" i="55"/>
  <c r="M120" i="55"/>
  <c r="I75" i="53"/>
  <c r="M75" i="53" s="1"/>
  <c r="Z75" i="53" s="1"/>
  <c r="W77" i="55"/>
  <c r="O113" i="55"/>
  <c r="O16" i="55"/>
  <c r="O99" i="55"/>
  <c r="O107" i="55"/>
  <c r="O72" i="55"/>
  <c r="U71" i="55"/>
  <c r="V99" i="55"/>
  <c r="W99" i="55" s="1"/>
  <c r="W100" i="55"/>
  <c r="V72" i="55"/>
  <c r="W72" i="55" s="1"/>
  <c r="W73" i="55"/>
  <c r="V107" i="55"/>
  <c r="W107" i="55" s="1"/>
  <c r="V92" i="55"/>
  <c r="W92" i="55" s="1"/>
  <c r="W93" i="55"/>
  <c r="U70" i="55"/>
  <c r="N123" i="55"/>
  <c r="F44" i="21"/>
  <c r="G44" i="21" s="1"/>
  <c r="M113" i="55"/>
  <c r="U97" i="55"/>
  <c r="U98" i="55"/>
  <c r="S24" i="55"/>
  <c r="U24" i="55" s="1"/>
  <c r="U43" i="55"/>
  <c r="U109" i="55"/>
  <c r="U108" i="55"/>
  <c r="U110" i="55"/>
  <c r="U112" i="55"/>
  <c r="U111" i="55"/>
  <c r="U94" i="55"/>
  <c r="U93" i="55"/>
  <c r="U95" i="55"/>
  <c r="S60" i="55"/>
  <c r="U60" i="55" s="1"/>
  <c r="S28" i="55"/>
  <c r="U28" i="55" s="1"/>
  <c r="U100" i="55"/>
  <c r="U101" i="55"/>
  <c r="U102" i="55"/>
  <c r="U103" i="55"/>
  <c r="U87" i="55"/>
  <c r="U86" i="55"/>
  <c r="U83" i="55"/>
  <c r="U88" i="55"/>
  <c r="U84" i="55"/>
  <c r="M66" i="55"/>
  <c r="V67" i="55" s="1"/>
  <c r="U80" i="55"/>
  <c r="U81" i="55"/>
  <c r="U76" i="55"/>
  <c r="U73" i="55"/>
  <c r="U74" i="55"/>
  <c r="S21" i="55"/>
  <c r="U21" i="55" s="1"/>
  <c r="S16" i="55"/>
  <c r="U16" i="55" s="1"/>
  <c r="U56" i="55"/>
  <c r="U55" i="55"/>
  <c r="U54" i="55"/>
  <c r="U53" i="55"/>
  <c r="U26" i="55"/>
  <c r="U27" i="55"/>
  <c r="U25" i="55"/>
  <c r="U13" i="55"/>
  <c r="U15" i="55"/>
  <c r="U14" i="55"/>
  <c r="U63" i="55"/>
  <c r="U65" i="55"/>
  <c r="U64" i="55"/>
  <c r="U62" i="55"/>
  <c r="U61" i="55"/>
  <c r="U59" i="55"/>
  <c r="U58" i="55"/>
  <c r="U22" i="55"/>
  <c r="U23" i="55"/>
  <c r="U51" i="55"/>
  <c r="U50" i="55"/>
  <c r="U45" i="55"/>
  <c r="U48" i="55"/>
  <c r="U46" i="55"/>
  <c r="U44" i="55"/>
  <c r="U47" i="55"/>
  <c r="U31" i="55"/>
  <c r="U34" i="55"/>
  <c r="U29" i="55"/>
  <c r="U32" i="55"/>
  <c r="U33" i="55"/>
  <c r="U30" i="55"/>
  <c r="L75" i="53"/>
  <c r="Y75" i="53" s="1"/>
  <c r="L66" i="53"/>
  <c r="Y66" i="53" s="1"/>
  <c r="M66" i="53"/>
  <c r="Z66" i="53" s="1"/>
  <c r="J66" i="53"/>
  <c r="M65" i="53"/>
  <c r="Z65" i="53" s="1"/>
  <c r="L65" i="53"/>
  <c r="Y65" i="53" s="1"/>
  <c r="J65" i="53"/>
  <c r="H64" i="53"/>
  <c r="I64" i="53" s="1"/>
  <c r="M63" i="53"/>
  <c r="Z63" i="53" s="1"/>
  <c r="L63" i="53"/>
  <c r="Y63" i="53" s="1"/>
  <c r="J63" i="53"/>
  <c r="F53" i="53"/>
  <c r="H53" i="53" s="1"/>
  <c r="F55" i="53"/>
  <c r="J55" i="53" s="1"/>
  <c r="F59" i="53"/>
  <c r="H59" i="53" s="1"/>
  <c r="F58" i="53"/>
  <c r="H58" i="53" s="1"/>
  <c r="F57" i="53"/>
  <c r="H57" i="53" s="1"/>
  <c r="F56" i="53"/>
  <c r="J56" i="53" s="1"/>
  <c r="F54" i="53"/>
  <c r="J54" i="53" s="1"/>
  <c r="K55" i="53"/>
  <c r="K56" i="53"/>
  <c r="K57" i="53"/>
  <c r="K58" i="53"/>
  <c r="Q54" i="53"/>
  <c r="R54" i="53" s="1"/>
  <c r="Q55" i="53"/>
  <c r="R55" i="53" s="1"/>
  <c r="Q56" i="53"/>
  <c r="R56" i="53" s="1"/>
  <c r="Q57" i="53"/>
  <c r="R57" i="53" s="1"/>
  <c r="Q58" i="53"/>
  <c r="R58" i="53"/>
  <c r="Q59" i="53"/>
  <c r="R59" i="53" s="1"/>
  <c r="Q53" i="53"/>
  <c r="R53" i="53" s="1"/>
  <c r="F49" i="53"/>
  <c r="J49" i="53" s="1"/>
  <c r="F50" i="53"/>
  <c r="J50" i="53" s="1"/>
  <c r="F48" i="53"/>
  <c r="H48" i="53" s="1"/>
  <c r="F47" i="53"/>
  <c r="J47" i="53" s="1"/>
  <c r="Q48" i="53"/>
  <c r="R48" i="53" s="1"/>
  <c r="Q49" i="53"/>
  <c r="R49" i="53" s="1"/>
  <c r="Q50" i="53"/>
  <c r="R50" i="53" s="1"/>
  <c r="Q47" i="53"/>
  <c r="R47" i="53" s="1"/>
  <c r="F44" i="53"/>
  <c r="H44" i="53" s="1"/>
  <c r="F43" i="53"/>
  <c r="H43" i="53" s="1"/>
  <c r="F42" i="53"/>
  <c r="J42" i="53" s="1"/>
  <c r="F41" i="53"/>
  <c r="H41" i="53" s="1"/>
  <c r="I41" i="53" s="1"/>
  <c r="F40" i="53"/>
  <c r="H40" i="53" s="1"/>
  <c r="I40" i="53" s="1"/>
  <c r="F39" i="53"/>
  <c r="H39" i="53" s="1"/>
  <c r="F38" i="53"/>
  <c r="H38" i="53" s="1"/>
  <c r="F37" i="53"/>
  <c r="H37" i="53" s="1"/>
  <c r="F35" i="53"/>
  <c r="H35" i="53" s="1"/>
  <c r="F36" i="53"/>
  <c r="H36" i="53" s="1"/>
  <c r="Q36" i="53"/>
  <c r="R36" i="53" s="1"/>
  <c r="Q37" i="53"/>
  <c r="R37" i="53" s="1"/>
  <c r="Q38" i="53"/>
  <c r="R38" i="53" s="1"/>
  <c r="Q39" i="53"/>
  <c r="R39" i="53" s="1"/>
  <c r="Q40" i="53"/>
  <c r="R40" i="53" s="1"/>
  <c r="Q41" i="53"/>
  <c r="R41" i="53" s="1"/>
  <c r="Q42" i="53"/>
  <c r="R42" i="53" s="1"/>
  <c r="Q43" i="53"/>
  <c r="R43" i="53" s="1"/>
  <c r="Q44" i="53"/>
  <c r="R44" i="53" s="1"/>
  <c r="Q35" i="53"/>
  <c r="R35" i="53" s="1"/>
  <c r="K38" i="53"/>
  <c r="K39" i="53"/>
  <c r="K40" i="53"/>
  <c r="K41" i="53"/>
  <c r="K42" i="53"/>
  <c r="K43" i="53"/>
  <c r="E30" i="53"/>
  <c r="F32" i="53"/>
  <c r="H32" i="53" s="1"/>
  <c r="I32" i="53" s="1"/>
  <c r="F31" i="53"/>
  <c r="J31" i="53" s="1"/>
  <c r="F30" i="53"/>
  <c r="H30" i="53" s="1"/>
  <c r="F29" i="53"/>
  <c r="H29" i="53" s="1"/>
  <c r="F28" i="53"/>
  <c r="H28" i="53" s="1"/>
  <c r="F27" i="53"/>
  <c r="J27" i="53" s="1"/>
  <c r="E32" i="53"/>
  <c r="K32" i="53" s="1"/>
  <c r="Q29" i="53"/>
  <c r="R29" i="53" s="1"/>
  <c r="Q30" i="53"/>
  <c r="R30" i="53" s="1"/>
  <c r="Q31" i="53"/>
  <c r="R31" i="53" s="1"/>
  <c r="Q32" i="53"/>
  <c r="R32" i="53" s="1"/>
  <c r="Q28" i="53"/>
  <c r="R28" i="53" s="1"/>
  <c r="K28" i="53"/>
  <c r="K29" i="53"/>
  <c r="K30" i="53"/>
  <c r="K31" i="53"/>
  <c r="Q20" i="53"/>
  <c r="R20" i="53" s="1"/>
  <c r="Q21" i="53"/>
  <c r="R21" i="53" s="1"/>
  <c r="Q22" i="53"/>
  <c r="R22" i="53" s="1"/>
  <c r="Q23" i="53"/>
  <c r="R23" i="53" s="1"/>
  <c r="Q24" i="53"/>
  <c r="R24" i="53" s="1"/>
  <c r="F21" i="53"/>
  <c r="J21" i="53" s="1"/>
  <c r="F22" i="53"/>
  <c r="H22" i="53" s="1"/>
  <c r="F23" i="53"/>
  <c r="H23" i="53" s="1"/>
  <c r="F24" i="53"/>
  <c r="H24" i="53" s="1"/>
  <c r="F20" i="53"/>
  <c r="J20" i="53" s="1"/>
  <c r="F19" i="53"/>
  <c r="K19" i="53"/>
  <c r="K23" i="53"/>
  <c r="K24" i="53"/>
  <c r="P13" i="53"/>
  <c r="Q13" i="53" s="1"/>
  <c r="P12" i="53"/>
  <c r="Q14" i="53"/>
  <c r="Q15" i="53"/>
  <c r="Q16" i="53"/>
  <c r="F16" i="53"/>
  <c r="J16" i="53" s="1"/>
  <c r="F15" i="53"/>
  <c r="H15" i="53" s="1"/>
  <c r="I15" i="53" s="1"/>
  <c r="F14" i="53"/>
  <c r="H14" i="53" s="1"/>
  <c r="F13" i="53"/>
  <c r="J13" i="53" s="1"/>
  <c r="F12" i="53"/>
  <c r="J12" i="53" s="1"/>
  <c r="K15" i="53"/>
  <c r="K16" i="53"/>
  <c r="K95" i="53"/>
  <c r="J95" i="53"/>
  <c r="H95" i="53"/>
  <c r="K94" i="53"/>
  <c r="J94" i="53"/>
  <c r="H94" i="53"/>
  <c r="K81" i="53"/>
  <c r="J81" i="53"/>
  <c r="H81" i="53"/>
  <c r="K80" i="53"/>
  <c r="J80" i="53"/>
  <c r="H80" i="53"/>
  <c r="K76" i="53"/>
  <c r="J76" i="53"/>
  <c r="H76" i="53"/>
  <c r="K74" i="53"/>
  <c r="J74" i="53"/>
  <c r="H74" i="53"/>
  <c r="K73" i="53"/>
  <c r="J73" i="53"/>
  <c r="H73" i="53"/>
  <c r="K72" i="53"/>
  <c r="J72" i="53"/>
  <c r="H72" i="53"/>
  <c r="K69" i="53"/>
  <c r="J69" i="53"/>
  <c r="H69" i="53"/>
  <c r="K68" i="53"/>
  <c r="J68" i="53"/>
  <c r="H68" i="53"/>
  <c r="K67" i="53"/>
  <c r="J67" i="53"/>
  <c r="H67" i="53"/>
  <c r="K62" i="53"/>
  <c r="J62" i="53"/>
  <c r="H62" i="53"/>
  <c r="K59" i="53"/>
  <c r="K54" i="53"/>
  <c r="K53" i="53"/>
  <c r="K50" i="53"/>
  <c r="K49" i="53"/>
  <c r="K48" i="53"/>
  <c r="K47" i="53"/>
  <c r="K44" i="53"/>
  <c r="K37" i="53"/>
  <c r="J37" i="53"/>
  <c r="K36" i="53"/>
  <c r="K35" i="53"/>
  <c r="M98" i="53"/>
  <c r="K27" i="53"/>
  <c r="K22" i="53"/>
  <c r="K21" i="53"/>
  <c r="K20" i="53"/>
  <c r="K14" i="53"/>
  <c r="K13" i="53"/>
  <c r="K12" i="53"/>
  <c r="J25" i="52"/>
  <c r="J24" i="52"/>
  <c r="H20" i="52"/>
  <c r="I20" i="52" s="1"/>
  <c r="M20" i="52" s="1"/>
  <c r="R20" i="52" s="1"/>
  <c r="J21" i="52"/>
  <c r="J19" i="52"/>
  <c r="K25" i="52"/>
  <c r="K24" i="52"/>
  <c r="K21" i="52"/>
  <c r="K20" i="52"/>
  <c r="K19" i="52"/>
  <c r="K18" i="52"/>
  <c r="J18" i="52"/>
  <c r="H18" i="52"/>
  <c r="L18" i="52" s="1"/>
  <c r="H13" i="52"/>
  <c r="I13" i="52" s="1"/>
  <c r="M13" i="52" s="1"/>
  <c r="R13" i="52" s="1"/>
  <c r="J13" i="52"/>
  <c r="K13" i="52"/>
  <c r="H14" i="52"/>
  <c r="I14" i="52" s="1"/>
  <c r="M14" i="52" s="1"/>
  <c r="R14" i="52" s="1"/>
  <c r="J14" i="52"/>
  <c r="K14" i="52"/>
  <c r="H15" i="52"/>
  <c r="I15" i="52" s="1"/>
  <c r="M15" i="52" s="1"/>
  <c r="R15" i="52" s="1"/>
  <c r="J15" i="52"/>
  <c r="K15" i="52"/>
  <c r="M28" i="52"/>
  <c r="K12" i="52"/>
  <c r="J12" i="52"/>
  <c r="H12" i="52"/>
  <c r="I12" i="52" s="1"/>
  <c r="M12" i="52" s="1"/>
  <c r="G16" i="21"/>
  <c r="G17" i="21"/>
  <c r="G14" i="21"/>
  <c r="G22" i="21"/>
  <c r="G20" i="21"/>
  <c r="G21" i="21"/>
  <c r="G19" i="21"/>
  <c r="G25" i="21"/>
  <c r="G24" i="21"/>
  <c r="P113" i="55" l="1"/>
  <c r="P66" i="55"/>
  <c r="W119" i="55"/>
  <c r="W118" i="55"/>
  <c r="W116" i="55"/>
  <c r="W115" i="55"/>
  <c r="W117" i="55"/>
  <c r="F43" i="21"/>
  <c r="G43" i="21" s="1"/>
  <c r="N115" i="55"/>
  <c r="U120" i="55"/>
  <c r="P79" i="55"/>
  <c r="I73" i="53"/>
  <c r="M73" i="53" s="1"/>
  <c r="Z73" i="53" s="1"/>
  <c r="I81" i="53"/>
  <c r="M81" i="53" s="1"/>
  <c r="Z81" i="53" s="1"/>
  <c r="I39" i="53"/>
  <c r="M39" i="53" s="1"/>
  <c r="Z39" i="53" s="1"/>
  <c r="I62" i="53"/>
  <c r="M62" i="53" s="1"/>
  <c r="Z62" i="53" s="1"/>
  <c r="I72" i="53"/>
  <c r="M72" i="53" s="1"/>
  <c r="Z72" i="53" s="1"/>
  <c r="I80" i="53"/>
  <c r="M80" i="53" s="1"/>
  <c r="Z80" i="53" s="1"/>
  <c r="I95" i="53"/>
  <c r="M95" i="53" s="1"/>
  <c r="Z95" i="53" s="1"/>
  <c r="I24" i="53"/>
  <c r="M24" i="53" s="1"/>
  <c r="Z24" i="53" s="1"/>
  <c r="I35" i="53"/>
  <c r="M35" i="53" s="1"/>
  <c r="Z35" i="53" s="1"/>
  <c r="L44" i="53"/>
  <c r="Y44" i="53" s="1"/>
  <c r="I44" i="53"/>
  <c r="M44" i="53" s="1"/>
  <c r="Z44" i="53" s="1"/>
  <c r="I58" i="53"/>
  <c r="M58" i="53" s="1"/>
  <c r="Z58" i="53" s="1"/>
  <c r="L14" i="53"/>
  <c r="Y14" i="53" s="1"/>
  <c r="I14" i="53"/>
  <c r="I43" i="53"/>
  <c r="M43" i="53" s="1"/>
  <c r="Z43" i="53" s="1"/>
  <c r="I53" i="53"/>
  <c r="M53" i="53" s="1"/>
  <c r="Z53" i="53" s="1"/>
  <c r="L69" i="53"/>
  <c r="Y69" i="53" s="1"/>
  <c r="I69" i="53"/>
  <c r="L76" i="53"/>
  <c r="Y76" i="53" s="1"/>
  <c r="I76" i="53"/>
  <c r="M76" i="53" s="1"/>
  <c r="Z76" i="53" s="1"/>
  <c r="I94" i="53"/>
  <c r="M94" i="53" s="1"/>
  <c r="I23" i="53"/>
  <c r="M23" i="53" s="1"/>
  <c r="Z23" i="53" s="1"/>
  <c r="I28" i="53"/>
  <c r="M28" i="53" s="1"/>
  <c r="Z28" i="53" s="1"/>
  <c r="I37" i="53"/>
  <c r="M37" i="53" s="1"/>
  <c r="Z37" i="53" s="1"/>
  <c r="L59" i="53"/>
  <c r="Y59" i="53" s="1"/>
  <c r="I59" i="53"/>
  <c r="I67" i="53"/>
  <c r="M67" i="53" s="1"/>
  <c r="Z67" i="53" s="1"/>
  <c r="I30" i="53"/>
  <c r="M30" i="53" s="1"/>
  <c r="Z30" i="53" s="1"/>
  <c r="I36" i="53"/>
  <c r="M36" i="53" s="1"/>
  <c r="Z36" i="53" s="1"/>
  <c r="I57" i="53"/>
  <c r="M57" i="53" s="1"/>
  <c r="Z57" i="53" s="1"/>
  <c r="L68" i="53"/>
  <c r="Y68" i="53" s="1"/>
  <c r="I68" i="53"/>
  <c r="M68" i="53" s="1"/>
  <c r="Z68" i="53" s="1"/>
  <c r="L74" i="53"/>
  <c r="Y74" i="53" s="1"/>
  <c r="I74" i="53"/>
  <c r="L22" i="53"/>
  <c r="Y22" i="53" s="1"/>
  <c r="I22" i="53"/>
  <c r="M22" i="53" s="1"/>
  <c r="Z22" i="53" s="1"/>
  <c r="I29" i="53"/>
  <c r="M29" i="53" s="1"/>
  <c r="Z29" i="53" s="1"/>
  <c r="I38" i="53"/>
  <c r="M38" i="53" s="1"/>
  <c r="Z38" i="53" s="1"/>
  <c r="I48" i="53"/>
  <c r="M48" i="53" s="1"/>
  <c r="Z48" i="53" s="1"/>
  <c r="P92" i="55"/>
  <c r="P16" i="55"/>
  <c r="P72" i="55"/>
  <c r="P107" i="55"/>
  <c r="P82" i="55"/>
  <c r="P77" i="55"/>
  <c r="P99" i="55"/>
  <c r="P104" i="55"/>
  <c r="P96" i="55"/>
  <c r="J36" i="53"/>
  <c r="H50" i="53"/>
  <c r="J35" i="53"/>
  <c r="J44" i="53"/>
  <c r="J53" i="53"/>
  <c r="F41" i="21"/>
  <c r="G41" i="21" s="1"/>
  <c r="P57" i="55"/>
  <c r="P49" i="55"/>
  <c r="P52" i="55"/>
  <c r="P43" i="55"/>
  <c r="P28" i="55"/>
  <c r="P24" i="55"/>
  <c r="P60" i="55"/>
  <c r="P21" i="55"/>
  <c r="N68" i="55"/>
  <c r="F42" i="21"/>
  <c r="G42" i="21" s="1"/>
  <c r="J22" i="53"/>
  <c r="J59" i="53"/>
  <c r="H56" i="53"/>
  <c r="J48" i="53"/>
  <c r="H54" i="53"/>
  <c r="H27" i="53"/>
  <c r="J57" i="53"/>
  <c r="H55" i="53"/>
  <c r="N12" i="55"/>
  <c r="M147" i="55"/>
  <c r="U67" i="55"/>
  <c r="H49" i="53"/>
  <c r="M32" i="53"/>
  <c r="Z32" i="53" s="1"/>
  <c r="H12" i="53"/>
  <c r="L81" i="53"/>
  <c r="Y81" i="53" s="1"/>
  <c r="L64" i="53"/>
  <c r="Y64" i="53" s="1"/>
  <c r="M64" i="53"/>
  <c r="Z64" i="53" s="1"/>
  <c r="J58" i="53"/>
  <c r="L58" i="53"/>
  <c r="Y58" i="53" s="1"/>
  <c r="L57" i="53"/>
  <c r="Y57" i="53" s="1"/>
  <c r="H47" i="53"/>
  <c r="J43" i="53"/>
  <c r="H42" i="53"/>
  <c r="J40" i="53"/>
  <c r="L40" i="53"/>
  <c r="Y40" i="53" s="1"/>
  <c r="M40" i="53"/>
  <c r="Z40" i="53" s="1"/>
  <c r="J39" i="53"/>
  <c r="J38" i="53"/>
  <c r="M41" i="53"/>
  <c r="Z41" i="53" s="1"/>
  <c r="L41" i="53"/>
  <c r="Y41" i="53" s="1"/>
  <c r="J41" i="53"/>
  <c r="L43" i="53"/>
  <c r="Y43" i="53" s="1"/>
  <c r="L39" i="53"/>
  <c r="Y39" i="53" s="1"/>
  <c r="L38" i="53"/>
  <c r="Y38" i="53" s="1"/>
  <c r="H31" i="53"/>
  <c r="J30" i="53"/>
  <c r="J29" i="53"/>
  <c r="J32" i="53"/>
  <c r="J28" i="53"/>
  <c r="L30" i="53"/>
  <c r="Y30" i="53" s="1"/>
  <c r="L29" i="53"/>
  <c r="Y29" i="53" s="1"/>
  <c r="L28" i="53"/>
  <c r="Y28" i="53" s="1"/>
  <c r="L32" i="53"/>
  <c r="Y32" i="53" s="1"/>
  <c r="H21" i="53"/>
  <c r="J19" i="53"/>
  <c r="J23" i="53"/>
  <c r="L23" i="53"/>
  <c r="Y23" i="53" s="1"/>
  <c r="H20" i="53"/>
  <c r="H19" i="53"/>
  <c r="J24" i="53"/>
  <c r="L24" i="53"/>
  <c r="Y24" i="53" s="1"/>
  <c r="J14" i="53"/>
  <c r="H16" i="53"/>
  <c r="H13" i="53"/>
  <c r="M15" i="53"/>
  <c r="Z15" i="53" s="1"/>
  <c r="L15" i="53"/>
  <c r="Y15" i="53" s="1"/>
  <c r="J15" i="53"/>
  <c r="M59" i="53"/>
  <c r="Z59" i="53" s="1"/>
  <c r="L37" i="53"/>
  <c r="Y37" i="53" s="1"/>
  <c r="M69" i="53"/>
  <c r="Z69" i="53" s="1"/>
  <c r="L94" i="53"/>
  <c r="L95" i="53"/>
  <c r="Y95" i="53" s="1"/>
  <c r="L80" i="53"/>
  <c r="Y80" i="53" s="1"/>
  <c r="L72" i="53"/>
  <c r="L73" i="53"/>
  <c r="Y73" i="53" s="1"/>
  <c r="M74" i="53"/>
  <c r="Z74" i="53" s="1"/>
  <c r="L62" i="53"/>
  <c r="L67" i="53"/>
  <c r="Y67" i="53" s="1"/>
  <c r="L53" i="53"/>
  <c r="L54" i="53"/>
  <c r="Y54" i="53" s="1"/>
  <c r="L48" i="53"/>
  <c r="Y48" i="53" s="1"/>
  <c r="L35" i="53"/>
  <c r="L36" i="53"/>
  <c r="Y36" i="53" s="1"/>
  <c r="M14" i="53"/>
  <c r="Z14" i="53" s="1"/>
  <c r="G13" i="21"/>
  <c r="R12" i="52"/>
  <c r="H21" i="52"/>
  <c r="L21" i="52" s="1"/>
  <c r="J20" i="52"/>
  <c r="H25" i="52"/>
  <c r="L25" i="52" s="1"/>
  <c r="H24" i="52"/>
  <c r="I24" i="52" s="1"/>
  <c r="M24" i="52" s="1"/>
  <c r="R24" i="52" s="1"/>
  <c r="H19" i="52"/>
  <c r="I19" i="52" s="1"/>
  <c r="M19" i="52" s="1"/>
  <c r="R19" i="52" s="1"/>
  <c r="L15" i="52"/>
  <c r="L14" i="52"/>
  <c r="M16" i="52"/>
  <c r="L13" i="52"/>
  <c r="I18" i="52"/>
  <c r="M18" i="52" s="1"/>
  <c r="L20" i="52"/>
  <c r="L12" i="52"/>
  <c r="L16" i="52" l="1"/>
  <c r="Q113" i="55"/>
  <c r="Q66" i="55"/>
  <c r="R66" i="55" s="1"/>
  <c r="N147" i="55"/>
  <c r="U146" i="55"/>
  <c r="Q28" i="55"/>
  <c r="R28" i="55" s="1"/>
  <c r="Q57" i="55"/>
  <c r="R57" i="55" s="1"/>
  <c r="Q21" i="55"/>
  <c r="R21" i="55" s="1"/>
  <c r="Q43" i="55"/>
  <c r="R43" i="55" s="1"/>
  <c r="Z94" i="53"/>
  <c r="M96" i="53"/>
  <c r="Z96" i="53" s="1"/>
  <c r="I55" i="53"/>
  <c r="M55" i="53" s="1"/>
  <c r="Z55" i="53" s="1"/>
  <c r="I42" i="53"/>
  <c r="M42" i="53" s="1"/>
  <c r="I56" i="53"/>
  <c r="M56" i="53" s="1"/>
  <c r="Z56" i="53" s="1"/>
  <c r="L13" i="53"/>
  <c r="Y13" i="53" s="1"/>
  <c r="I13" i="53"/>
  <c r="M13" i="53" s="1"/>
  <c r="Z13" i="53" s="1"/>
  <c r="L12" i="53"/>
  <c r="Y12" i="53" s="1"/>
  <c r="I12" i="53"/>
  <c r="M12" i="53" s="1"/>
  <c r="Z12" i="53" s="1"/>
  <c r="I27" i="53"/>
  <c r="M27" i="53" s="1"/>
  <c r="L50" i="53"/>
  <c r="Y50" i="53" s="1"/>
  <c r="I50" i="53"/>
  <c r="M50" i="53" s="1"/>
  <c r="Z50" i="53" s="1"/>
  <c r="Y62" i="53"/>
  <c r="L70" i="53"/>
  <c r="Y70" i="53" s="1"/>
  <c r="L20" i="53"/>
  <c r="Y20" i="53" s="1"/>
  <c r="I20" i="53"/>
  <c r="M20" i="53" s="1"/>
  <c r="Z20" i="53" s="1"/>
  <c r="L21" i="53"/>
  <c r="Y21" i="53" s="1"/>
  <c r="I21" i="53"/>
  <c r="M21" i="53" s="1"/>
  <c r="Z21" i="53" s="1"/>
  <c r="L49" i="53"/>
  <c r="Y49" i="53" s="1"/>
  <c r="I49" i="53"/>
  <c r="M49" i="53" s="1"/>
  <c r="Y53" i="53"/>
  <c r="I31" i="53"/>
  <c r="M31" i="53" s="1"/>
  <c r="Z31" i="53" s="1"/>
  <c r="L96" i="53"/>
  <c r="Y96" i="53" s="1"/>
  <c r="Y94" i="53"/>
  <c r="I16" i="53"/>
  <c r="M16" i="53" s="1"/>
  <c r="I19" i="53"/>
  <c r="M19" i="53" s="1"/>
  <c r="Z19" i="53" s="1"/>
  <c r="I47" i="53"/>
  <c r="M47" i="53" s="1"/>
  <c r="Z47" i="53" s="1"/>
  <c r="I54" i="53"/>
  <c r="M54" i="53" s="1"/>
  <c r="Y35" i="53"/>
  <c r="L77" i="53"/>
  <c r="Y77" i="53" s="1"/>
  <c r="Y72" i="53"/>
  <c r="Q24" i="55"/>
  <c r="R24" i="55" s="1"/>
  <c r="Q49" i="55"/>
  <c r="R49" i="55" s="1"/>
  <c r="Q96" i="55"/>
  <c r="Q99" i="55"/>
  <c r="Q107" i="55"/>
  <c r="Q104" i="55"/>
  <c r="Q77" i="55"/>
  <c r="Q79" i="55"/>
  <c r="Q72" i="55"/>
  <c r="Q92" i="55"/>
  <c r="Q16" i="55"/>
  <c r="R16" i="55" s="1"/>
  <c r="Q60" i="55"/>
  <c r="R60" i="55" s="1"/>
  <c r="Q52" i="55"/>
  <c r="R52" i="55" s="1"/>
  <c r="Q82" i="55"/>
  <c r="L42" i="53"/>
  <c r="Y42" i="53" s="1"/>
  <c r="L56" i="53"/>
  <c r="Y56" i="53" s="1"/>
  <c r="L27" i="53"/>
  <c r="Y27" i="53" s="1"/>
  <c r="L55" i="53"/>
  <c r="Y55" i="53" s="1"/>
  <c r="L24" i="52"/>
  <c r="U114" i="55"/>
  <c r="L47" i="53"/>
  <c r="L31" i="53"/>
  <c r="L19" i="53"/>
  <c r="L16" i="53"/>
  <c r="M77" i="53"/>
  <c r="Z77" i="53" s="1"/>
  <c r="M70" i="53"/>
  <c r="Z70" i="53" s="1"/>
  <c r="I25" i="52"/>
  <c r="M25" i="52" s="1"/>
  <c r="R25" i="52" s="1"/>
  <c r="L19" i="52"/>
  <c r="O12" i="52"/>
  <c r="N15" i="52"/>
  <c r="N14" i="52"/>
  <c r="N13" i="52"/>
  <c r="N12" i="52"/>
  <c r="I21" i="52"/>
  <c r="M21" i="52" s="1"/>
  <c r="R21" i="52" s="1"/>
  <c r="R18" i="52"/>
  <c r="H52" i="44"/>
  <c r="I52" i="44" s="1"/>
  <c r="J64" i="44"/>
  <c r="J105" i="44"/>
  <c r="J90" i="44"/>
  <c r="G60" i="44"/>
  <c r="E60" i="44"/>
  <c r="E50" i="44"/>
  <c r="K50" i="44" s="1"/>
  <c r="G16" i="44"/>
  <c r="K16" i="44" s="1"/>
  <c r="K105" i="44"/>
  <c r="K102" i="44"/>
  <c r="J102" i="44"/>
  <c r="K101" i="44"/>
  <c r="J101" i="44"/>
  <c r="K100" i="44"/>
  <c r="J100" i="44"/>
  <c r="K99" i="44"/>
  <c r="J99" i="44"/>
  <c r="K98" i="44"/>
  <c r="J98" i="44"/>
  <c r="K97" i="44"/>
  <c r="J97" i="44"/>
  <c r="K96" i="44"/>
  <c r="J96" i="44"/>
  <c r="K95" i="44"/>
  <c r="J95" i="44"/>
  <c r="K94" i="44"/>
  <c r="J94" i="44"/>
  <c r="K93" i="44"/>
  <c r="J93" i="44"/>
  <c r="K92" i="44"/>
  <c r="J92" i="44"/>
  <c r="K91" i="44"/>
  <c r="J91" i="44"/>
  <c r="K90" i="44"/>
  <c r="K64" i="44"/>
  <c r="K61" i="44"/>
  <c r="J61" i="44"/>
  <c r="K59" i="44"/>
  <c r="J59" i="44"/>
  <c r="K56" i="44"/>
  <c r="J56" i="44"/>
  <c r="K41" i="44"/>
  <c r="J41" i="44"/>
  <c r="K39" i="44"/>
  <c r="J39" i="44"/>
  <c r="K35" i="44"/>
  <c r="J35" i="44"/>
  <c r="K31" i="44"/>
  <c r="J31" i="44"/>
  <c r="K30" i="44"/>
  <c r="J30" i="44"/>
  <c r="K29" i="44"/>
  <c r="J29" i="44"/>
  <c r="K28" i="44"/>
  <c r="J28" i="44"/>
  <c r="K24" i="44"/>
  <c r="J24" i="44"/>
  <c r="K23" i="44"/>
  <c r="J23" i="44"/>
  <c r="K22" i="44"/>
  <c r="J22" i="44"/>
  <c r="K21" i="44"/>
  <c r="J21" i="44"/>
  <c r="J19" i="44"/>
  <c r="J16" i="44"/>
  <c r="K15" i="44"/>
  <c r="J15" i="44"/>
  <c r="K14" i="44"/>
  <c r="J14" i="44"/>
  <c r="K13" i="44"/>
  <c r="J13" i="44"/>
  <c r="H105" i="44"/>
  <c r="L105" i="44" s="1"/>
  <c r="H102" i="44"/>
  <c r="I102" i="44" s="1"/>
  <c r="M102" i="44" s="1"/>
  <c r="H101" i="44"/>
  <c r="I101" i="44" s="1"/>
  <c r="M101" i="44" s="1"/>
  <c r="H100" i="44"/>
  <c r="I100" i="44" s="1"/>
  <c r="M100" i="44" s="1"/>
  <c r="H99" i="44"/>
  <c r="I99" i="44" s="1"/>
  <c r="M99" i="44" s="1"/>
  <c r="H98" i="44"/>
  <c r="I98" i="44" s="1"/>
  <c r="M98" i="44" s="1"/>
  <c r="H97" i="44"/>
  <c r="I97" i="44" s="1"/>
  <c r="M97" i="44" s="1"/>
  <c r="H96" i="44"/>
  <c r="I96" i="44" s="1"/>
  <c r="M96" i="44" s="1"/>
  <c r="H95" i="44"/>
  <c r="I95" i="44" s="1"/>
  <c r="M95" i="44" s="1"/>
  <c r="H94" i="44"/>
  <c r="I94" i="44" s="1"/>
  <c r="M94" i="44" s="1"/>
  <c r="H93" i="44"/>
  <c r="I93" i="44" s="1"/>
  <c r="M93" i="44" s="1"/>
  <c r="H92" i="44"/>
  <c r="I92" i="44" s="1"/>
  <c r="M92" i="44" s="1"/>
  <c r="H91" i="44"/>
  <c r="I91" i="44" s="1"/>
  <c r="M91" i="44" s="1"/>
  <c r="H61" i="44"/>
  <c r="L61" i="44" s="1"/>
  <c r="H59" i="44"/>
  <c r="L59" i="44" s="1"/>
  <c r="H56" i="44"/>
  <c r="I56" i="44" s="1"/>
  <c r="M56" i="44" s="1"/>
  <c r="H49" i="44"/>
  <c r="I49" i="44" s="1"/>
  <c r="H41" i="44"/>
  <c r="I41" i="44" s="1"/>
  <c r="M41" i="44" s="1"/>
  <c r="P40" i="44" s="1"/>
  <c r="H39" i="44"/>
  <c r="I39" i="44" s="1"/>
  <c r="M39" i="44" s="1"/>
  <c r="H35" i="44"/>
  <c r="I35" i="44" s="1"/>
  <c r="M35" i="44" s="1"/>
  <c r="H33" i="44"/>
  <c r="I33" i="44" s="1"/>
  <c r="H32" i="44"/>
  <c r="I32" i="44" s="1"/>
  <c r="H31" i="44"/>
  <c r="I31" i="44" s="1"/>
  <c r="M31" i="44" s="1"/>
  <c r="H30" i="44"/>
  <c r="I30" i="44" s="1"/>
  <c r="M30" i="44" s="1"/>
  <c r="H29" i="44"/>
  <c r="I29" i="44" s="1"/>
  <c r="M29" i="44" s="1"/>
  <c r="H28" i="44"/>
  <c r="I28" i="44" s="1"/>
  <c r="M28" i="44" s="1"/>
  <c r="H24" i="44"/>
  <c r="I24" i="44" s="1"/>
  <c r="M24" i="44" s="1"/>
  <c r="H23" i="44"/>
  <c r="I23" i="44" s="1"/>
  <c r="M23" i="44" s="1"/>
  <c r="H22" i="44"/>
  <c r="I22" i="44" s="1"/>
  <c r="M22" i="44" s="1"/>
  <c r="H21" i="44"/>
  <c r="I21" i="44" s="1"/>
  <c r="M21" i="44" s="1"/>
  <c r="H20" i="44"/>
  <c r="H19" i="44"/>
  <c r="I19" i="44" s="1"/>
  <c r="M19" i="44" s="1"/>
  <c r="H14" i="44"/>
  <c r="L14" i="44" s="1"/>
  <c r="H15" i="44"/>
  <c r="L15" i="44" s="1"/>
  <c r="H13" i="44"/>
  <c r="I13" i="44" s="1"/>
  <c r="M13" i="44" s="1"/>
  <c r="M115" i="44"/>
  <c r="P34" i="44" l="1"/>
  <c r="H16" i="44"/>
  <c r="L16" i="44" s="1"/>
  <c r="P96" i="53"/>
  <c r="U96" i="53" s="1"/>
  <c r="O94" i="53"/>
  <c r="Z54" i="53"/>
  <c r="M60" i="53"/>
  <c r="N58" i="53" s="1"/>
  <c r="Z27" i="53"/>
  <c r="M33" i="53"/>
  <c r="Z42" i="53"/>
  <c r="M45" i="53"/>
  <c r="N40" i="53" s="1"/>
  <c r="Z16" i="53"/>
  <c r="M17" i="53"/>
  <c r="Z17" i="53" s="1"/>
  <c r="L60" i="53"/>
  <c r="Y60" i="53" s="1"/>
  <c r="L51" i="53"/>
  <c r="Y51" i="53" s="1"/>
  <c r="Y47" i="53"/>
  <c r="L45" i="53"/>
  <c r="Y45" i="53" s="1"/>
  <c r="L33" i="53"/>
  <c r="Y33" i="53" s="1"/>
  <c r="Y31" i="53"/>
  <c r="L25" i="53"/>
  <c r="Y25" i="53" s="1"/>
  <c r="Y19" i="53"/>
  <c r="L17" i="53"/>
  <c r="Y17" i="53" s="1"/>
  <c r="Y16" i="53"/>
  <c r="K60" i="44"/>
  <c r="M51" i="53"/>
  <c r="Z51" i="53" s="1"/>
  <c r="Z49" i="53"/>
  <c r="N75" i="53"/>
  <c r="N72" i="53"/>
  <c r="N73" i="53"/>
  <c r="N74" i="53"/>
  <c r="O62" i="53"/>
  <c r="N63" i="53"/>
  <c r="N67" i="53"/>
  <c r="N65" i="53"/>
  <c r="N66" i="53"/>
  <c r="N62" i="53"/>
  <c r="N68" i="53"/>
  <c r="N76" i="53"/>
  <c r="N64" i="53"/>
  <c r="N69" i="53"/>
  <c r="M25" i="53"/>
  <c r="N20" i="53" s="1"/>
  <c r="M26" i="52"/>
  <c r="O24" i="52" s="1"/>
  <c r="P77" i="53"/>
  <c r="U77" i="53" s="1"/>
  <c r="O72" i="53"/>
  <c r="P70" i="53"/>
  <c r="U70" i="53" s="1"/>
  <c r="M22" i="52"/>
  <c r="M27" i="52" s="1"/>
  <c r="N25" i="52"/>
  <c r="N24" i="52"/>
  <c r="L31" i="44"/>
  <c r="L22" i="44"/>
  <c r="I61" i="44"/>
  <c r="M61" i="44" s="1"/>
  <c r="H64" i="44"/>
  <c r="I64" i="44" s="1"/>
  <c r="M64" i="44" s="1"/>
  <c r="I105" i="44"/>
  <c r="M105" i="44" s="1"/>
  <c r="H90" i="44"/>
  <c r="I90" i="44" s="1"/>
  <c r="M90" i="44" s="1"/>
  <c r="L56" i="44"/>
  <c r="I59" i="44"/>
  <c r="M59" i="44" s="1"/>
  <c r="L92" i="44"/>
  <c r="L93" i="44"/>
  <c r="L94" i="44"/>
  <c r="L95" i="44"/>
  <c r="L96" i="44"/>
  <c r="L97" i="44"/>
  <c r="L98" i="44"/>
  <c r="L99" i="44"/>
  <c r="L100" i="44"/>
  <c r="L101" i="44"/>
  <c r="L102" i="44"/>
  <c r="L35" i="44"/>
  <c r="L41" i="44"/>
  <c r="L39" i="44"/>
  <c r="L30" i="44"/>
  <c r="L29" i="44"/>
  <c r="L28" i="44"/>
  <c r="L24" i="44"/>
  <c r="L23" i="44"/>
  <c r="L21" i="44"/>
  <c r="L19" i="44"/>
  <c r="I20" i="44"/>
  <c r="L91" i="44"/>
  <c r="I16" i="44"/>
  <c r="M16" i="44" s="1"/>
  <c r="I15" i="44"/>
  <c r="M15" i="44" s="1"/>
  <c r="I14" i="44"/>
  <c r="M14" i="44" s="1"/>
  <c r="L13" i="44"/>
  <c r="L17" i="44" s="1"/>
  <c r="H10" i="51"/>
  <c r="G79" i="53" s="1"/>
  <c r="I24" i="51"/>
  <c r="I23" i="51"/>
  <c r="G22" i="51"/>
  <c r="I22" i="51" s="1"/>
  <c r="G21" i="51"/>
  <c r="I21" i="51" s="1"/>
  <c r="G20" i="51"/>
  <c r="I20" i="51" s="1"/>
  <c r="G19" i="51"/>
  <c r="I19" i="51" s="1"/>
  <c r="G18" i="51"/>
  <c r="I18" i="51" s="1"/>
  <c r="G17" i="51"/>
  <c r="I17" i="51" s="1"/>
  <c r="G16" i="51"/>
  <c r="I16" i="51" s="1"/>
  <c r="G15" i="51"/>
  <c r="I15" i="51" s="1"/>
  <c r="G14" i="51"/>
  <c r="I14" i="51" s="1"/>
  <c r="G13" i="51"/>
  <c r="I13" i="51" s="1"/>
  <c r="G12" i="51"/>
  <c r="G11" i="51"/>
  <c r="I11" i="51" s="1"/>
  <c r="H49" i="50"/>
  <c r="H51" i="50" s="1"/>
  <c r="G49" i="50"/>
  <c r="G51" i="50" s="1"/>
  <c r="H43" i="50"/>
  <c r="G43" i="50"/>
  <c r="H35" i="50"/>
  <c r="G35" i="50"/>
  <c r="H22" i="50"/>
  <c r="G22" i="50"/>
  <c r="C30" i="49"/>
  <c r="C23" i="49"/>
  <c r="C18" i="49"/>
  <c r="C29" i="48"/>
  <c r="C17" i="48"/>
  <c r="C22" i="48" s="1"/>
  <c r="E33" i="44"/>
  <c r="L33" i="44" s="1"/>
  <c r="E32" i="44"/>
  <c r="E49" i="44"/>
  <c r="L49" i="44" s="1"/>
  <c r="E51" i="44"/>
  <c r="K51" i="44" s="1"/>
  <c r="L52" i="44"/>
  <c r="E20" i="44"/>
  <c r="G45" i="21"/>
  <c r="E37" i="46"/>
  <c r="E28" i="46"/>
  <c r="E17" i="46"/>
  <c r="E12" i="46"/>
  <c r="F37" i="46"/>
  <c r="G42" i="46" s="1"/>
  <c r="F28" i="46"/>
  <c r="G36" i="46" s="1"/>
  <c r="F38" i="21" s="1"/>
  <c r="G38" i="21" s="1"/>
  <c r="F17" i="46"/>
  <c r="G27" i="46" s="1"/>
  <c r="F12" i="46"/>
  <c r="M17" i="44" l="1"/>
  <c r="Q17" i="44" s="1"/>
  <c r="N54" i="53"/>
  <c r="P60" i="53"/>
  <c r="U60" i="53" s="1"/>
  <c r="N57" i="53"/>
  <c r="N59" i="53"/>
  <c r="Z60" i="53"/>
  <c r="N56" i="53"/>
  <c r="N55" i="53"/>
  <c r="O53" i="53"/>
  <c r="N53" i="53"/>
  <c r="Z45" i="53"/>
  <c r="N43" i="53"/>
  <c r="O35" i="53"/>
  <c r="N39" i="53"/>
  <c r="N36" i="53"/>
  <c r="P45" i="53"/>
  <c r="U45" i="53" s="1"/>
  <c r="N37" i="53"/>
  <c r="N42" i="53"/>
  <c r="N41" i="53"/>
  <c r="N35" i="53"/>
  <c r="N38" i="53"/>
  <c r="N44" i="53"/>
  <c r="Z33" i="53"/>
  <c r="N28" i="53"/>
  <c r="N27" i="53"/>
  <c r="Q27" i="53" s="1"/>
  <c r="R27" i="53" s="1"/>
  <c r="N31" i="53"/>
  <c r="N22" i="53"/>
  <c r="N12" i="53"/>
  <c r="N30" i="53"/>
  <c r="N16" i="53"/>
  <c r="O27" i="53"/>
  <c r="P17" i="53"/>
  <c r="U12" i="53" s="1"/>
  <c r="O12" i="53"/>
  <c r="P33" i="53"/>
  <c r="U33" i="53" s="1"/>
  <c r="N32" i="53"/>
  <c r="N15" i="53"/>
  <c r="N13" i="53"/>
  <c r="N14" i="53"/>
  <c r="N29" i="53"/>
  <c r="N49" i="53"/>
  <c r="N50" i="53"/>
  <c r="O47" i="53"/>
  <c r="M113" i="44"/>
  <c r="N19" i="53"/>
  <c r="N23" i="53"/>
  <c r="N47" i="53"/>
  <c r="P51" i="53"/>
  <c r="U51" i="53" s="1"/>
  <c r="N48" i="53"/>
  <c r="K79" i="53"/>
  <c r="O19" i="53"/>
  <c r="P25" i="53"/>
  <c r="U25" i="53" s="1"/>
  <c r="Z25" i="53"/>
  <c r="N21" i="53"/>
  <c r="L64" i="44"/>
  <c r="G10" i="51"/>
  <c r="F79" i="53" s="1"/>
  <c r="N94" i="53"/>
  <c r="N95" i="53"/>
  <c r="N24" i="53"/>
  <c r="N21" i="52"/>
  <c r="O18" i="52"/>
  <c r="N18" i="52"/>
  <c r="N20" i="52"/>
  <c r="N19" i="52"/>
  <c r="R27" i="52"/>
  <c r="N22" i="52"/>
  <c r="N16" i="52"/>
  <c r="N26" i="52"/>
  <c r="O27" i="52"/>
  <c r="K20" i="44"/>
  <c r="J20" i="44"/>
  <c r="M20" i="44"/>
  <c r="J33" i="44"/>
  <c r="K33" i="44"/>
  <c r="M49" i="44"/>
  <c r="K32" i="44"/>
  <c r="J32" i="44"/>
  <c r="M32" i="44"/>
  <c r="L20" i="44"/>
  <c r="K52" i="44"/>
  <c r="J52" i="44"/>
  <c r="J49" i="44"/>
  <c r="K49" i="44"/>
  <c r="L32" i="44"/>
  <c r="M33" i="44"/>
  <c r="M52" i="44"/>
  <c r="L90" i="44"/>
  <c r="I12" i="51"/>
  <c r="I10" i="51" s="1"/>
  <c r="F10" i="51" s="1"/>
  <c r="G14" i="46"/>
  <c r="G24" i="46"/>
  <c r="G39" i="46"/>
  <c r="G43" i="46"/>
  <c r="G13" i="46"/>
  <c r="G20" i="46"/>
  <c r="G41" i="46"/>
  <c r="G16" i="46"/>
  <c r="G25" i="46"/>
  <c r="G29" i="46"/>
  <c r="G31" i="46"/>
  <c r="F33" i="21" s="1"/>
  <c r="G33" i="21" s="1"/>
  <c r="G33" i="46"/>
  <c r="F35" i="21" s="1"/>
  <c r="G35" i="21" s="1"/>
  <c r="G35" i="46"/>
  <c r="F37" i="21" s="1"/>
  <c r="G37" i="21" s="1"/>
  <c r="G21" i="46"/>
  <c r="G15" i="46"/>
  <c r="G18" i="46"/>
  <c r="G22" i="46"/>
  <c r="G26" i="46"/>
  <c r="G38" i="46"/>
  <c r="G40" i="46"/>
  <c r="F44" i="46"/>
  <c r="G19" i="46"/>
  <c r="G23" i="46"/>
  <c r="G30" i="46"/>
  <c r="F32" i="21" s="1"/>
  <c r="G32" i="21" s="1"/>
  <c r="G32" i="46"/>
  <c r="F34" i="21" s="1"/>
  <c r="G34" i="21" s="1"/>
  <c r="G34" i="46"/>
  <c r="F36" i="21" s="1"/>
  <c r="G36" i="21" s="1"/>
  <c r="O130" i="45"/>
  <c r="O128" i="45"/>
  <c r="O129" i="45"/>
  <c r="O127" i="45"/>
  <c r="O126" i="45"/>
  <c r="O125" i="45"/>
  <c r="O124" i="45"/>
  <c r="O123" i="45"/>
  <c r="O141" i="45"/>
  <c r="O142" i="45"/>
  <c r="O143" i="45"/>
  <c r="O144" i="45"/>
  <c r="O145" i="45"/>
  <c r="O146" i="45"/>
  <c r="O147" i="45"/>
  <c r="O148" i="45"/>
  <c r="O149" i="45"/>
  <c r="O150" i="45"/>
  <c r="N105" i="44" l="1"/>
  <c r="N108" i="44"/>
  <c r="N111" i="44"/>
  <c r="N112" i="44"/>
  <c r="N107" i="44"/>
  <c r="N110" i="44"/>
  <c r="N106" i="44"/>
  <c r="N109" i="44"/>
  <c r="P27" i="44"/>
  <c r="Q113" i="44"/>
  <c r="O105" i="44"/>
  <c r="H79" i="53"/>
  <c r="I79" i="53" s="1"/>
  <c r="J79" i="53"/>
  <c r="G44" i="46"/>
  <c r="M58" i="45"/>
  <c r="I245" i="45"/>
  <c r="I240" i="45"/>
  <c r="I241" i="45"/>
  <c r="I242" i="45"/>
  <c r="I243" i="45"/>
  <c r="M243" i="45" s="1"/>
  <c r="P241" i="45" s="1"/>
  <c r="I244" i="45"/>
  <c r="I230" i="45"/>
  <c r="J230" i="45"/>
  <c r="I223" i="45"/>
  <c r="I224" i="45"/>
  <c r="I225" i="45"/>
  <c r="I226" i="45"/>
  <c r="I227" i="45"/>
  <c r="I228" i="45"/>
  <c r="H222" i="45"/>
  <c r="I222" i="45"/>
  <c r="J222" i="45"/>
  <c r="I156" i="45"/>
  <c r="I155" i="45"/>
  <c r="H114" i="45"/>
  <c r="H103" i="45"/>
  <c r="I103" i="45"/>
  <c r="I104" i="45"/>
  <c r="I105" i="45"/>
  <c r="I106" i="45"/>
  <c r="I107" i="45"/>
  <c r="I108" i="45"/>
  <c r="I109" i="45"/>
  <c r="I110" i="45"/>
  <c r="I111" i="45"/>
  <c r="I112" i="45"/>
  <c r="I113" i="45"/>
  <c r="H100" i="45"/>
  <c r="I100" i="45"/>
  <c r="H101" i="45"/>
  <c r="I101" i="45"/>
  <c r="I102" i="45"/>
  <c r="M79" i="53" l="1"/>
  <c r="Z79" i="53" s="1"/>
  <c r="L79" i="53"/>
  <c r="M241" i="45"/>
  <c r="M244" i="45"/>
  <c r="P242" i="45" s="1"/>
  <c r="M242" i="45"/>
  <c r="M240" i="45"/>
  <c r="P240" i="45" s="1"/>
  <c r="K222" i="45"/>
  <c r="I96" i="45"/>
  <c r="I97" i="45"/>
  <c r="I98" i="45"/>
  <c r="I99" i="45"/>
  <c r="H221" i="45"/>
  <c r="I221" i="45"/>
  <c r="J221" i="45"/>
  <c r="H94" i="45"/>
  <c r="I94" i="45"/>
  <c r="J94" i="45"/>
  <c r="I95" i="45"/>
  <c r="I219" i="45"/>
  <c r="I220" i="45"/>
  <c r="H218" i="45"/>
  <c r="I218" i="45"/>
  <c r="J218" i="45"/>
  <c r="I217" i="45"/>
  <c r="I216" i="45"/>
  <c r="H89" i="45"/>
  <c r="I89" i="45"/>
  <c r="I90" i="45"/>
  <c r="I91" i="45"/>
  <c r="I92" i="45"/>
  <c r="I93" i="45"/>
  <c r="I86" i="45"/>
  <c r="I87" i="45"/>
  <c r="I88" i="45"/>
  <c r="H84" i="45"/>
  <c r="I84" i="45"/>
  <c r="I85" i="45"/>
  <c r="I76" i="45"/>
  <c r="I77" i="45"/>
  <c r="I78" i="45"/>
  <c r="I79" i="45"/>
  <c r="I80" i="45"/>
  <c r="I81" i="45"/>
  <c r="I82" i="45"/>
  <c r="I83" i="45"/>
  <c r="H202" i="45"/>
  <c r="I202" i="45"/>
  <c r="J202" i="45"/>
  <c r="I203" i="45"/>
  <c r="I204" i="45"/>
  <c r="I205" i="45"/>
  <c r="I206" i="45"/>
  <c r="I207" i="45"/>
  <c r="I208" i="45"/>
  <c r="I199" i="45"/>
  <c r="I200" i="45"/>
  <c r="I201" i="45"/>
  <c r="I193" i="45"/>
  <c r="I194" i="45"/>
  <c r="I195" i="45"/>
  <c r="I196" i="45"/>
  <c r="I197" i="45"/>
  <c r="H198" i="45"/>
  <c r="I198" i="45"/>
  <c r="J198" i="45"/>
  <c r="H192" i="45"/>
  <c r="I192" i="45"/>
  <c r="I190" i="45"/>
  <c r="H179" i="45"/>
  <c r="I179" i="45"/>
  <c r="J179" i="45"/>
  <c r="I180" i="45"/>
  <c r="I181" i="45"/>
  <c r="I182" i="45"/>
  <c r="I183" i="45"/>
  <c r="I184" i="45"/>
  <c r="I185" i="45"/>
  <c r="I186" i="45"/>
  <c r="I187" i="45"/>
  <c r="I191" i="45"/>
  <c r="H190" i="45"/>
  <c r="J190" i="45"/>
  <c r="I131" i="45"/>
  <c r="I132" i="45"/>
  <c r="I133" i="45"/>
  <c r="I38" i="45"/>
  <c r="H143" i="45"/>
  <c r="I143" i="45"/>
  <c r="J143" i="45"/>
  <c r="I144" i="45"/>
  <c r="I145" i="45"/>
  <c r="I146" i="45"/>
  <c r="H147" i="45"/>
  <c r="I147" i="45"/>
  <c r="J147" i="45"/>
  <c r="I148" i="45"/>
  <c r="I149" i="45"/>
  <c r="H150" i="45"/>
  <c r="I150" i="45"/>
  <c r="J150" i="45"/>
  <c r="I151" i="45"/>
  <c r="I152" i="45"/>
  <c r="I153" i="45"/>
  <c r="I154" i="45"/>
  <c r="I70" i="45"/>
  <c r="I71" i="45"/>
  <c r="I72" i="45"/>
  <c r="I73" i="45"/>
  <c r="I74" i="45"/>
  <c r="I75" i="45"/>
  <c r="I166" i="45"/>
  <c r="H167" i="45"/>
  <c r="I167" i="45"/>
  <c r="J167" i="45"/>
  <c r="I168" i="45"/>
  <c r="I169" i="45"/>
  <c r="I170" i="45"/>
  <c r="I171" i="45"/>
  <c r="I172" i="45"/>
  <c r="I173" i="45"/>
  <c r="I174" i="45"/>
  <c r="I175" i="45"/>
  <c r="I176" i="45"/>
  <c r="I177" i="45"/>
  <c r="I178" i="45"/>
  <c r="I130" i="45"/>
  <c r="I25" i="45"/>
  <c r="I48" i="45"/>
  <c r="I26" i="45"/>
  <c r="I27" i="45"/>
  <c r="I34" i="45"/>
  <c r="I35" i="45"/>
  <c r="I36" i="45"/>
  <c r="H37" i="45"/>
  <c r="I37" i="45"/>
  <c r="J37" i="45"/>
  <c r="I39" i="45"/>
  <c r="I40" i="45"/>
  <c r="I49" i="45"/>
  <c r="I50" i="45"/>
  <c r="I51" i="45"/>
  <c r="I52" i="45"/>
  <c r="H53" i="45"/>
  <c r="I53" i="45"/>
  <c r="J53" i="45"/>
  <c r="I54" i="45"/>
  <c r="I55" i="45"/>
  <c r="I56" i="45"/>
  <c r="I57" i="45"/>
  <c r="I64" i="45"/>
  <c r="I65" i="45"/>
  <c r="I66" i="45"/>
  <c r="I67" i="45"/>
  <c r="I68" i="45"/>
  <c r="I69" i="45"/>
  <c r="I141" i="45"/>
  <c r="I142" i="45"/>
  <c r="I123" i="45"/>
  <c r="I124" i="45"/>
  <c r="I126" i="45"/>
  <c r="I127" i="45"/>
  <c r="I128" i="45"/>
  <c r="I20" i="45"/>
  <c r="I21" i="45"/>
  <c r="I22" i="45"/>
  <c r="I23" i="45"/>
  <c r="I24" i="45"/>
  <c r="I14" i="45"/>
  <c r="I9" i="45"/>
  <c r="I10" i="45"/>
  <c r="I11" i="45"/>
  <c r="I12" i="45"/>
  <c r="I13" i="45"/>
  <c r="I15" i="45"/>
  <c r="Y79" i="53" l="1"/>
  <c r="L92" i="53"/>
  <c r="Y92" i="53" s="1"/>
  <c r="M92" i="53"/>
  <c r="M97" i="53"/>
  <c r="P243" i="45"/>
  <c r="I58" i="45"/>
  <c r="M56" i="45" s="1"/>
  <c r="I234" i="45"/>
  <c r="M219" i="45" s="1"/>
  <c r="I157" i="45"/>
  <c r="M154" i="45" s="1"/>
  <c r="P146" i="45" s="1"/>
  <c r="I209" i="45"/>
  <c r="I134" i="45"/>
  <c r="M128" i="45" s="1"/>
  <c r="I115" i="45"/>
  <c r="I41" i="45"/>
  <c r="I28" i="45"/>
  <c r="M26" i="45" s="1"/>
  <c r="M9" i="45"/>
  <c r="M12" i="45"/>
  <c r="M14" i="45"/>
  <c r="M11" i="45"/>
  <c r="M13" i="45"/>
  <c r="M10" i="45"/>
  <c r="K202" i="45"/>
  <c r="K221" i="45"/>
  <c r="K198" i="45"/>
  <c r="K167" i="45"/>
  <c r="K150" i="45"/>
  <c r="K143" i="45"/>
  <c r="K179" i="45"/>
  <c r="K94" i="45"/>
  <c r="K218" i="45"/>
  <c r="K37" i="45"/>
  <c r="K190" i="45"/>
  <c r="K53" i="45"/>
  <c r="K147" i="45"/>
  <c r="N89" i="53" l="1"/>
  <c r="N88" i="53"/>
  <c r="N91" i="53"/>
  <c r="N82" i="53"/>
  <c r="N83" i="53"/>
  <c r="N90" i="53"/>
  <c r="N87" i="53"/>
  <c r="N86" i="53"/>
  <c r="N84" i="53"/>
  <c r="N85" i="53"/>
  <c r="N79" i="53"/>
  <c r="Z92" i="53"/>
  <c r="F28" i="21"/>
  <c r="G28" i="21" s="1"/>
  <c r="N51" i="53"/>
  <c r="N45" i="53"/>
  <c r="N33" i="53"/>
  <c r="N77" i="53"/>
  <c r="O97" i="53"/>
  <c r="N25" i="53"/>
  <c r="N60" i="53"/>
  <c r="P97" i="53"/>
  <c r="U97" i="53" s="1"/>
  <c r="N70" i="53"/>
  <c r="N17" i="53"/>
  <c r="N96" i="53"/>
  <c r="O79" i="53"/>
  <c r="P92" i="53"/>
  <c r="U92" i="53" s="1"/>
  <c r="N80" i="53"/>
  <c r="N81" i="53"/>
  <c r="N92" i="53"/>
  <c r="M126" i="45"/>
  <c r="P126" i="45" s="1"/>
  <c r="M217" i="45"/>
  <c r="M221" i="45"/>
  <c r="M48" i="45"/>
  <c r="M52" i="45"/>
  <c r="M53" i="45"/>
  <c r="M50" i="45"/>
  <c r="M54" i="45"/>
  <c r="M49" i="45"/>
  <c r="M55" i="45"/>
  <c r="M51" i="45"/>
  <c r="M57" i="45"/>
  <c r="M125" i="45"/>
  <c r="M127" i="45"/>
  <c r="P127" i="45" s="1"/>
  <c r="M231" i="45"/>
  <c r="M232" i="45"/>
  <c r="M234" i="45"/>
  <c r="M229" i="45"/>
  <c r="M233" i="45"/>
  <c r="M223" i="45"/>
  <c r="P218" i="45" s="1"/>
  <c r="M230" i="45"/>
  <c r="M227" i="45"/>
  <c r="M222" i="45"/>
  <c r="M228" i="45"/>
  <c r="M225" i="45"/>
  <c r="M224" i="45"/>
  <c r="M226" i="45"/>
  <c r="M216" i="45"/>
  <c r="M218" i="45"/>
  <c r="M220" i="45"/>
  <c r="P220" i="45" s="1"/>
  <c r="M188" i="45"/>
  <c r="M209" i="45"/>
  <c r="M189" i="45"/>
  <c r="M206" i="45"/>
  <c r="M195" i="45"/>
  <c r="M180" i="45"/>
  <c r="M168" i="45"/>
  <c r="M176" i="45"/>
  <c r="M191" i="45"/>
  <c r="M157" i="45"/>
  <c r="M155" i="45"/>
  <c r="P149" i="45" s="1"/>
  <c r="M156" i="45"/>
  <c r="P150" i="45" s="1"/>
  <c r="M207" i="45"/>
  <c r="M196" i="45"/>
  <c r="M181" i="45"/>
  <c r="M149" i="45"/>
  <c r="P143" i="45" s="1"/>
  <c r="M167" i="45"/>
  <c r="M175" i="45"/>
  <c r="M166" i="45"/>
  <c r="P167" i="45" s="1"/>
  <c r="M142" i="45"/>
  <c r="P148" i="45" s="1"/>
  <c r="M208" i="45"/>
  <c r="M197" i="45"/>
  <c r="M182" i="45"/>
  <c r="M170" i="45"/>
  <c r="M178" i="45"/>
  <c r="M141" i="45"/>
  <c r="P147" i="45" s="1"/>
  <c r="M199" i="45"/>
  <c r="M183" i="45"/>
  <c r="M169" i="45"/>
  <c r="M177" i="45"/>
  <c r="M198" i="45"/>
  <c r="M144" i="45"/>
  <c r="M151" i="45"/>
  <c r="P144" i="45" s="1"/>
  <c r="M202" i="45"/>
  <c r="M200" i="45"/>
  <c r="M184" i="45"/>
  <c r="M148" i="45"/>
  <c r="P142" i="45" s="1"/>
  <c r="M172" i="45"/>
  <c r="M143" i="45"/>
  <c r="M150" i="45"/>
  <c r="M203" i="45"/>
  <c r="M201" i="45"/>
  <c r="M192" i="45"/>
  <c r="M185" i="45"/>
  <c r="M171" i="45"/>
  <c r="M146" i="45"/>
  <c r="M153" i="45"/>
  <c r="M204" i="45"/>
  <c r="M193" i="45"/>
  <c r="M190" i="45"/>
  <c r="M186" i="45"/>
  <c r="M174" i="45"/>
  <c r="M145" i="45"/>
  <c r="M152" i="45"/>
  <c r="M205" i="45"/>
  <c r="M194" i="45"/>
  <c r="M179" i="45"/>
  <c r="M187" i="45"/>
  <c r="M147" i="45"/>
  <c r="M173" i="45"/>
  <c r="M133" i="45"/>
  <c r="M123" i="45"/>
  <c r="M130" i="45"/>
  <c r="M131" i="45"/>
  <c r="M132" i="45"/>
  <c r="M124" i="45"/>
  <c r="M66" i="45"/>
  <c r="M77" i="45"/>
  <c r="M97" i="45"/>
  <c r="M76" i="45"/>
  <c r="M73" i="45"/>
  <c r="M98" i="45"/>
  <c r="M74" i="45"/>
  <c r="M88" i="45"/>
  <c r="M87" i="45"/>
  <c r="M81" i="45"/>
  <c r="M86" i="45"/>
  <c r="M71" i="45"/>
  <c r="M70" i="45"/>
  <c r="M92" i="45"/>
  <c r="M93" i="45"/>
  <c r="M99" i="45"/>
  <c r="M78" i="45"/>
  <c r="M75" i="45"/>
  <c r="M94" i="45"/>
  <c r="M65" i="45"/>
  <c r="M96" i="45"/>
  <c r="M72" i="45"/>
  <c r="M67" i="45"/>
  <c r="M90" i="45"/>
  <c r="M95" i="45"/>
  <c r="M80" i="45"/>
  <c r="M68" i="45"/>
  <c r="M79" i="45"/>
  <c r="M69" i="45"/>
  <c r="M91" i="45"/>
  <c r="M84" i="45"/>
  <c r="M114" i="45"/>
  <c r="M101" i="45"/>
  <c r="M108" i="45"/>
  <c r="M102" i="45"/>
  <c r="M109" i="45"/>
  <c r="M104" i="45"/>
  <c r="M110" i="45"/>
  <c r="M103" i="45"/>
  <c r="M106" i="45"/>
  <c r="M107" i="45"/>
  <c r="M100" i="45"/>
  <c r="M112" i="45"/>
  <c r="M113" i="45"/>
  <c r="M105" i="45"/>
  <c r="M111" i="45"/>
  <c r="M85" i="45"/>
  <c r="M82" i="45"/>
  <c r="M89" i="45"/>
  <c r="M64" i="45"/>
  <c r="M83" i="45"/>
  <c r="M34" i="45"/>
  <c r="M20" i="45"/>
  <c r="M36" i="45"/>
  <c r="P35" i="45" s="1"/>
  <c r="M39" i="45"/>
  <c r="M35" i="45"/>
  <c r="M38" i="45"/>
  <c r="P36" i="45" s="1"/>
  <c r="M40" i="45"/>
  <c r="M37" i="45"/>
  <c r="M22" i="45"/>
  <c r="M25" i="45"/>
  <c r="M23" i="45"/>
  <c r="M27" i="45"/>
  <c r="M28" i="45"/>
  <c r="M24" i="45"/>
  <c r="M21" i="45"/>
  <c r="G9" i="45"/>
  <c r="H9" i="45" s="1"/>
  <c r="G244" i="45"/>
  <c r="H244" i="45" s="1"/>
  <c r="G243" i="45"/>
  <c r="H243" i="45" s="1"/>
  <c r="G242" i="45"/>
  <c r="H242" i="45" s="1"/>
  <c r="G241" i="45"/>
  <c r="H241" i="45" s="1"/>
  <c r="G240" i="45"/>
  <c r="H240" i="45" s="1"/>
  <c r="G233" i="45"/>
  <c r="H233" i="45" s="1"/>
  <c r="G232" i="45"/>
  <c r="H232" i="45" s="1"/>
  <c r="G231" i="45"/>
  <c r="H231" i="45" s="1"/>
  <c r="G230" i="45"/>
  <c r="H230" i="45" s="1"/>
  <c r="G229" i="45"/>
  <c r="H229" i="45" s="1"/>
  <c r="G228" i="45"/>
  <c r="H228" i="45" s="1"/>
  <c r="G227" i="45"/>
  <c r="H227" i="45" s="1"/>
  <c r="G226" i="45"/>
  <c r="H226" i="45" s="1"/>
  <c r="G225" i="45"/>
  <c r="H225" i="45" s="1"/>
  <c r="G224" i="45"/>
  <c r="H224" i="45" s="1"/>
  <c r="G223" i="45"/>
  <c r="H223" i="45" s="1"/>
  <c r="G156" i="45"/>
  <c r="H156" i="45" s="1"/>
  <c r="G155" i="45"/>
  <c r="H155" i="45" s="1"/>
  <c r="G113" i="45"/>
  <c r="H113" i="45" s="1"/>
  <c r="G112" i="45"/>
  <c r="H112" i="45" s="1"/>
  <c r="G111" i="45"/>
  <c r="H111" i="45" s="1"/>
  <c r="G110" i="45"/>
  <c r="H110" i="45" s="1"/>
  <c r="G109" i="45"/>
  <c r="H109" i="45" s="1"/>
  <c r="G108" i="45"/>
  <c r="H108" i="45" s="1"/>
  <c r="G107" i="45"/>
  <c r="H107" i="45" s="1"/>
  <c r="G106" i="45"/>
  <c r="H106" i="45" s="1"/>
  <c r="G105" i="45"/>
  <c r="H105" i="45" s="1"/>
  <c r="G104" i="45"/>
  <c r="H104" i="45" s="1"/>
  <c r="G102" i="45"/>
  <c r="H102" i="45" s="1"/>
  <c r="G99" i="45"/>
  <c r="H99" i="45" s="1"/>
  <c r="G98" i="45"/>
  <c r="H98" i="45" s="1"/>
  <c r="G97" i="45"/>
  <c r="H97" i="45" s="1"/>
  <c r="G96" i="45"/>
  <c r="H96" i="45" s="1"/>
  <c r="G95" i="45"/>
  <c r="H95" i="45" s="1"/>
  <c r="G220" i="45"/>
  <c r="H220" i="45" s="1"/>
  <c r="G219" i="45"/>
  <c r="H219" i="45" s="1"/>
  <c r="G217" i="45"/>
  <c r="H217" i="45" s="1"/>
  <c r="G216" i="45"/>
  <c r="H216" i="45" s="1"/>
  <c r="G93" i="45"/>
  <c r="H93" i="45" s="1"/>
  <c r="G92" i="45"/>
  <c r="H92" i="45" s="1"/>
  <c r="G91" i="45"/>
  <c r="H91" i="45" s="1"/>
  <c r="G90" i="45"/>
  <c r="H90" i="45" s="1"/>
  <c r="G88" i="45"/>
  <c r="H88" i="45" s="1"/>
  <c r="G87" i="45"/>
  <c r="H87" i="45" s="1"/>
  <c r="G86" i="45"/>
  <c r="H86" i="45" s="1"/>
  <c r="G85" i="45"/>
  <c r="H85" i="45" s="1"/>
  <c r="G83" i="45"/>
  <c r="H83" i="45" s="1"/>
  <c r="G82" i="45"/>
  <c r="H82" i="45" s="1"/>
  <c r="G81" i="45"/>
  <c r="H81" i="45" s="1"/>
  <c r="G80" i="45"/>
  <c r="H80" i="45" s="1"/>
  <c r="G79" i="45"/>
  <c r="H79" i="45" s="1"/>
  <c r="G78" i="45"/>
  <c r="H78" i="45" s="1"/>
  <c r="G77" i="45"/>
  <c r="H77" i="45" s="1"/>
  <c r="G76" i="45"/>
  <c r="H76" i="45" s="1"/>
  <c r="G208" i="45"/>
  <c r="H208" i="45" s="1"/>
  <c r="G207" i="45"/>
  <c r="H207" i="45" s="1"/>
  <c r="G206" i="45"/>
  <c r="H206" i="45" s="1"/>
  <c r="G205" i="45"/>
  <c r="H205" i="45" s="1"/>
  <c r="G204" i="45"/>
  <c r="H204" i="45" s="1"/>
  <c r="G203" i="45"/>
  <c r="H203" i="45" s="1"/>
  <c r="G201" i="45"/>
  <c r="H201" i="45" s="1"/>
  <c r="G200" i="45"/>
  <c r="H200" i="45" s="1"/>
  <c r="G199" i="45"/>
  <c r="H199" i="45" s="1"/>
  <c r="G197" i="45"/>
  <c r="H197" i="45" s="1"/>
  <c r="G196" i="45"/>
  <c r="H196" i="45" s="1"/>
  <c r="G195" i="45"/>
  <c r="H195" i="45" s="1"/>
  <c r="G194" i="45"/>
  <c r="H194" i="45" s="1"/>
  <c r="G193" i="45"/>
  <c r="H193" i="45" s="1"/>
  <c r="G191" i="45"/>
  <c r="H191" i="45" s="1"/>
  <c r="G189" i="45"/>
  <c r="H189" i="45" s="1"/>
  <c r="G188" i="45"/>
  <c r="H188" i="45" s="1"/>
  <c r="G187" i="45"/>
  <c r="H187" i="45" s="1"/>
  <c r="G186" i="45"/>
  <c r="H186" i="45" s="1"/>
  <c r="G185" i="45"/>
  <c r="H185" i="45" s="1"/>
  <c r="G184" i="45"/>
  <c r="H184" i="45" s="1"/>
  <c r="G183" i="45"/>
  <c r="H183" i="45" s="1"/>
  <c r="G182" i="45"/>
  <c r="H182" i="45" s="1"/>
  <c r="G181" i="45"/>
  <c r="H181" i="45" s="1"/>
  <c r="G180" i="45"/>
  <c r="H180" i="45" s="1"/>
  <c r="G178" i="45"/>
  <c r="H178" i="45" s="1"/>
  <c r="G177" i="45"/>
  <c r="H177" i="45" s="1"/>
  <c r="G176" i="45"/>
  <c r="H176" i="45" s="1"/>
  <c r="G175" i="45"/>
  <c r="H175" i="45" s="1"/>
  <c r="G174" i="45"/>
  <c r="H174" i="45" s="1"/>
  <c r="G173" i="45"/>
  <c r="H173" i="45" s="1"/>
  <c r="G172" i="45"/>
  <c r="H172" i="45" s="1"/>
  <c r="G171" i="45"/>
  <c r="H171" i="45" s="1"/>
  <c r="G170" i="45"/>
  <c r="H170" i="45" s="1"/>
  <c r="G169" i="45"/>
  <c r="H169" i="45" s="1"/>
  <c r="G168" i="45"/>
  <c r="H168" i="45" s="1"/>
  <c r="G166" i="45"/>
  <c r="H166" i="45" s="1"/>
  <c r="G75" i="45"/>
  <c r="H75" i="45" s="1"/>
  <c r="G74" i="45"/>
  <c r="H74" i="45" s="1"/>
  <c r="G73" i="45"/>
  <c r="H73" i="45" s="1"/>
  <c r="G72" i="45"/>
  <c r="H72" i="45" s="1"/>
  <c r="G71" i="45"/>
  <c r="H71" i="45" s="1"/>
  <c r="G70" i="45"/>
  <c r="H70" i="45" s="1"/>
  <c r="G154" i="45"/>
  <c r="H154" i="45" s="1"/>
  <c r="G153" i="45"/>
  <c r="H153" i="45" s="1"/>
  <c r="G152" i="45"/>
  <c r="H152" i="45" s="1"/>
  <c r="G151" i="45"/>
  <c r="H151" i="45" s="1"/>
  <c r="G149" i="45"/>
  <c r="H149" i="45" s="1"/>
  <c r="G148" i="45"/>
  <c r="H148" i="45" s="1"/>
  <c r="G146" i="45"/>
  <c r="H146" i="45" s="1"/>
  <c r="G145" i="45"/>
  <c r="H145" i="45" s="1"/>
  <c r="G144" i="45"/>
  <c r="H144" i="45" s="1"/>
  <c r="G38" i="45"/>
  <c r="H38" i="45" s="1"/>
  <c r="G133" i="45"/>
  <c r="H133" i="45" s="1"/>
  <c r="G132" i="45"/>
  <c r="H132" i="45" s="1"/>
  <c r="G131" i="45"/>
  <c r="H131" i="45" s="1"/>
  <c r="G130" i="45"/>
  <c r="H130" i="45" s="1"/>
  <c r="G128" i="45"/>
  <c r="H128" i="45" s="1"/>
  <c r="G127" i="45"/>
  <c r="H127" i="45" s="1"/>
  <c r="G126" i="45"/>
  <c r="H126" i="45" s="1"/>
  <c r="G125" i="45"/>
  <c r="H125" i="45" s="1"/>
  <c r="G124" i="45"/>
  <c r="H124" i="45" s="1"/>
  <c r="G123" i="45"/>
  <c r="H123" i="45" s="1"/>
  <c r="G142" i="45"/>
  <c r="H142" i="45" s="1"/>
  <c r="G141" i="45"/>
  <c r="H141" i="45" s="1"/>
  <c r="G69" i="45"/>
  <c r="H69" i="45" s="1"/>
  <c r="G68" i="45"/>
  <c r="H68" i="45" s="1"/>
  <c r="G67" i="45"/>
  <c r="H67" i="45" s="1"/>
  <c r="G66" i="45"/>
  <c r="G65" i="45"/>
  <c r="H65" i="45" s="1"/>
  <c r="G64" i="45"/>
  <c r="G57" i="45"/>
  <c r="H57" i="45" s="1"/>
  <c r="G56" i="45"/>
  <c r="H56" i="45" s="1"/>
  <c r="G55" i="45"/>
  <c r="H55" i="45" s="1"/>
  <c r="G54" i="45"/>
  <c r="H54" i="45" s="1"/>
  <c r="G52" i="45"/>
  <c r="H52" i="45" s="1"/>
  <c r="G51" i="45"/>
  <c r="H51" i="45" s="1"/>
  <c r="G50" i="45"/>
  <c r="H50" i="45" s="1"/>
  <c r="G49" i="45"/>
  <c r="G40" i="45"/>
  <c r="H40" i="45" s="1"/>
  <c r="G39" i="45"/>
  <c r="H39" i="45" s="1"/>
  <c r="G36" i="45"/>
  <c r="H36" i="45" s="1"/>
  <c r="G35" i="45"/>
  <c r="H35" i="45" s="1"/>
  <c r="G34" i="45"/>
  <c r="H34" i="45" s="1"/>
  <c r="G27" i="45"/>
  <c r="H27" i="45" s="1"/>
  <c r="G26" i="45"/>
  <c r="H26" i="45" s="1"/>
  <c r="G48" i="45"/>
  <c r="G25" i="45"/>
  <c r="H25" i="45" s="1"/>
  <c r="G24" i="45"/>
  <c r="H24" i="45" s="1"/>
  <c r="G23" i="45"/>
  <c r="H23" i="45" s="1"/>
  <c r="G22" i="45"/>
  <c r="H22" i="45" s="1"/>
  <c r="G21" i="45"/>
  <c r="H21" i="45" s="1"/>
  <c r="G20" i="45"/>
  <c r="G14" i="45"/>
  <c r="H14" i="45" s="1"/>
  <c r="G13" i="45"/>
  <c r="H13" i="45" s="1"/>
  <c r="G12" i="45"/>
  <c r="H12" i="45" s="1"/>
  <c r="G11" i="45"/>
  <c r="H11" i="45" s="1"/>
  <c r="G10" i="45"/>
  <c r="H10" i="45" s="1"/>
  <c r="P216" i="45" l="1"/>
  <c r="P34" i="45"/>
  <c r="P166" i="45"/>
  <c r="P37" i="45"/>
  <c r="K231" i="45"/>
  <c r="K232" i="45"/>
  <c r="H234" i="45"/>
  <c r="L229" i="45" s="1"/>
  <c r="K229" i="45"/>
  <c r="K233" i="45"/>
  <c r="K230" i="45"/>
  <c r="H157" i="45"/>
  <c r="L144" i="45" s="1"/>
  <c r="H209" i="45"/>
  <c r="P145" i="45"/>
  <c r="P141" i="45"/>
  <c r="H134" i="45"/>
  <c r="L133" i="45" s="1"/>
  <c r="H41" i="45"/>
  <c r="L35" i="45" s="1"/>
  <c r="H64" i="45"/>
  <c r="H20" i="45"/>
  <c r="H66" i="45"/>
  <c r="H48" i="45"/>
  <c r="G58" i="45"/>
  <c r="H49" i="45"/>
  <c r="G245" i="45"/>
  <c r="H245" i="45" s="1"/>
  <c r="L244" i="45" s="1"/>
  <c r="O242" i="45" s="1"/>
  <c r="G15" i="45"/>
  <c r="H15" i="45" s="1"/>
  <c r="M88" i="44"/>
  <c r="F31" i="21"/>
  <c r="G31" i="21" s="1"/>
  <c r="G39" i="21" s="1"/>
  <c r="N69" i="44" l="1"/>
  <c r="N73" i="44"/>
  <c r="N77" i="44"/>
  <c r="N75" i="44"/>
  <c r="N68" i="44"/>
  <c r="N76" i="44"/>
  <c r="N66" i="44"/>
  <c r="N72" i="44"/>
  <c r="N65" i="44"/>
  <c r="N70" i="44"/>
  <c r="N74" i="44"/>
  <c r="N67" i="44"/>
  <c r="N71" i="44"/>
  <c r="N78" i="44"/>
  <c r="N80" i="44"/>
  <c r="N81" i="44"/>
  <c r="Q88" i="44"/>
  <c r="N86" i="44"/>
  <c r="N87" i="44"/>
  <c r="N82" i="44"/>
  <c r="N84" i="44"/>
  <c r="N79" i="44"/>
  <c r="N85" i="44"/>
  <c r="N83" i="44"/>
  <c r="O64" i="44"/>
  <c r="N64" i="44"/>
  <c r="N13" i="44"/>
  <c r="N16" i="44"/>
  <c r="N14" i="44"/>
  <c r="N15" i="44"/>
  <c r="O13" i="44"/>
  <c r="M103" i="44"/>
  <c r="M47" i="44"/>
  <c r="M25" i="44"/>
  <c r="Q25" i="44" s="1"/>
  <c r="L226" i="45"/>
  <c r="H58" i="45"/>
  <c r="L51" i="45" s="1"/>
  <c r="L240" i="45"/>
  <c r="O240" i="45" s="1"/>
  <c r="L242" i="45"/>
  <c r="L243" i="45"/>
  <c r="O241" i="45" s="1"/>
  <c r="L220" i="45"/>
  <c r="L241" i="45"/>
  <c r="L234" i="45"/>
  <c r="L222" i="45"/>
  <c r="L218" i="45"/>
  <c r="L221" i="45"/>
  <c r="L228" i="45"/>
  <c r="L216" i="45"/>
  <c r="L219" i="45"/>
  <c r="L230" i="45"/>
  <c r="L217" i="45"/>
  <c r="L223" i="45"/>
  <c r="O218" i="45" s="1"/>
  <c r="L233" i="45"/>
  <c r="L225" i="45"/>
  <c r="L232" i="45"/>
  <c r="L224" i="45"/>
  <c r="L231" i="45"/>
  <c r="L227" i="45"/>
  <c r="L148" i="45"/>
  <c r="L149" i="45"/>
  <c r="L152" i="45"/>
  <c r="L153" i="45"/>
  <c r="L209" i="45"/>
  <c r="L179" i="45"/>
  <c r="L192" i="45"/>
  <c r="L202" i="45"/>
  <c r="L198" i="45"/>
  <c r="L167" i="45"/>
  <c r="L190" i="45"/>
  <c r="L208" i="45"/>
  <c r="L199" i="45"/>
  <c r="L188" i="45"/>
  <c r="L180" i="45"/>
  <c r="L171" i="45"/>
  <c r="L191" i="45"/>
  <c r="L173" i="45"/>
  <c r="L205" i="45"/>
  <c r="L176" i="45"/>
  <c r="L203" i="45"/>
  <c r="L193" i="45"/>
  <c r="L183" i="45"/>
  <c r="L174" i="45"/>
  <c r="L201" i="45"/>
  <c r="L186" i="45"/>
  <c r="L169" i="45"/>
  <c r="L200" i="45"/>
  <c r="L189" i="45"/>
  <c r="L172" i="45"/>
  <c r="L155" i="45"/>
  <c r="L157" i="45"/>
  <c r="L156" i="45"/>
  <c r="L142" i="45"/>
  <c r="L141" i="45"/>
  <c r="L150" i="45"/>
  <c r="L143" i="45"/>
  <c r="L147" i="45"/>
  <c r="L204" i="45"/>
  <c r="L194" i="45"/>
  <c r="L184" i="45"/>
  <c r="L175" i="45"/>
  <c r="L166" i="45"/>
  <c r="O167" i="45" s="1"/>
  <c r="L206" i="45"/>
  <c r="L182" i="45"/>
  <c r="L145" i="45"/>
  <c r="L185" i="45"/>
  <c r="L168" i="45"/>
  <c r="L207" i="45"/>
  <c r="L197" i="45"/>
  <c r="L187" i="45"/>
  <c r="L178" i="45"/>
  <c r="L170" i="45"/>
  <c r="L146" i="45"/>
  <c r="L196" i="45"/>
  <c r="L177" i="45"/>
  <c r="L151" i="45"/>
  <c r="L195" i="45"/>
  <c r="L181" i="45"/>
  <c r="L154" i="45"/>
  <c r="L127" i="45"/>
  <c r="L126" i="45"/>
  <c r="L130" i="45"/>
  <c r="L129" i="45"/>
  <c r="L132" i="45"/>
  <c r="L123" i="45"/>
  <c r="L131" i="45"/>
  <c r="L124" i="45"/>
  <c r="L125" i="45"/>
  <c r="L128" i="45"/>
  <c r="H115" i="45"/>
  <c r="L66" i="45" s="1"/>
  <c r="O66" i="45" s="1"/>
  <c r="L48" i="45"/>
  <c r="L50" i="45"/>
  <c r="L49" i="45"/>
  <c r="L52" i="45"/>
  <c r="L53" i="45"/>
  <c r="L39" i="45"/>
  <c r="L38" i="45"/>
  <c r="O36" i="45" s="1"/>
  <c r="L37" i="45"/>
  <c r="L34" i="45"/>
  <c r="O34" i="45" s="1"/>
  <c r="L36" i="45"/>
  <c r="O35" i="45" s="1"/>
  <c r="L40" i="45"/>
  <c r="L13" i="45"/>
  <c r="L10" i="45"/>
  <c r="L11" i="45"/>
  <c r="H28" i="45"/>
  <c r="L14" i="45"/>
  <c r="L12" i="45"/>
  <c r="L9" i="45"/>
  <c r="P168" i="45"/>
  <c r="N44" i="44" l="1"/>
  <c r="N42" i="44"/>
  <c r="N46" i="44"/>
  <c r="N43" i="44"/>
  <c r="N45" i="44"/>
  <c r="Q47" i="44"/>
  <c r="N38" i="44"/>
  <c r="N37" i="44"/>
  <c r="N36" i="44"/>
  <c r="N91" i="44"/>
  <c r="Q103" i="44"/>
  <c r="N30" i="44"/>
  <c r="N35" i="44"/>
  <c r="N31" i="44"/>
  <c r="N32" i="44"/>
  <c r="N39" i="44"/>
  <c r="N29" i="44"/>
  <c r="N33" i="44"/>
  <c r="N41" i="44"/>
  <c r="N28" i="44"/>
  <c r="N21" i="44"/>
  <c r="N19" i="44"/>
  <c r="N22" i="44"/>
  <c r="N23" i="44"/>
  <c r="N24" i="44"/>
  <c r="N20" i="44"/>
  <c r="N93" i="44"/>
  <c r="N97" i="44"/>
  <c r="N101" i="44"/>
  <c r="N100" i="44"/>
  <c r="N94" i="44"/>
  <c r="N98" i="44"/>
  <c r="N102" i="44"/>
  <c r="N92" i="44"/>
  <c r="N96" i="44"/>
  <c r="N95" i="44"/>
  <c r="N99" i="44"/>
  <c r="N90" i="44"/>
  <c r="O90" i="44"/>
  <c r="O27" i="44"/>
  <c r="O19" i="44"/>
  <c r="L54" i="45"/>
  <c r="L56" i="45"/>
  <c r="L55" i="45"/>
  <c r="L57" i="45"/>
  <c r="O221" i="45"/>
  <c r="O37" i="45"/>
  <c r="O220" i="45"/>
  <c r="O243" i="45"/>
  <c r="O166" i="45"/>
  <c r="O217" i="45"/>
  <c r="O219" i="45"/>
  <c r="O216" i="45"/>
  <c r="O168" i="45"/>
  <c r="O170" i="45"/>
  <c r="O169" i="45"/>
  <c r="P169" i="45"/>
  <c r="L72" i="45"/>
  <c r="L84" i="45"/>
  <c r="L88" i="45"/>
  <c r="L92" i="45"/>
  <c r="L104" i="45"/>
  <c r="L108" i="45"/>
  <c r="L112" i="45"/>
  <c r="L115" i="45"/>
  <c r="M115" i="45" s="1"/>
  <c r="L94" i="45"/>
  <c r="L110" i="45"/>
  <c r="L73" i="45"/>
  <c r="L85" i="45"/>
  <c r="L89" i="45"/>
  <c r="L93" i="45"/>
  <c r="L105" i="45"/>
  <c r="L109" i="45"/>
  <c r="L113" i="45"/>
  <c r="L70" i="45"/>
  <c r="L74" i="45"/>
  <c r="L86" i="45"/>
  <c r="L90" i="45"/>
  <c r="L106" i="45"/>
  <c r="L114" i="45"/>
  <c r="L71" i="45"/>
  <c r="L87" i="45"/>
  <c r="L103" i="45"/>
  <c r="L111" i="45"/>
  <c r="L75" i="45"/>
  <c r="L91" i="45"/>
  <c r="L107" i="45"/>
  <c r="L100" i="45"/>
  <c r="L101" i="45"/>
  <c r="L65" i="45"/>
  <c r="O65" i="45" s="1"/>
  <c r="L78" i="45"/>
  <c r="L97" i="45"/>
  <c r="L69" i="45"/>
  <c r="O69" i="45" s="1"/>
  <c r="L82" i="45"/>
  <c r="L95" i="45"/>
  <c r="L96" i="45"/>
  <c r="L80" i="45"/>
  <c r="L79" i="45"/>
  <c r="L76" i="45"/>
  <c r="L68" i="45"/>
  <c r="O68" i="45" s="1"/>
  <c r="L81" i="45"/>
  <c r="L102" i="45"/>
  <c r="L67" i="45"/>
  <c r="O67" i="45" s="1"/>
  <c r="L99" i="45"/>
  <c r="L98" i="45"/>
  <c r="L77" i="45"/>
  <c r="L83" i="45"/>
  <c r="L64" i="45"/>
  <c r="O64" i="45" s="1"/>
  <c r="L28" i="45"/>
  <c r="L23" i="45"/>
  <c r="L25" i="45"/>
  <c r="L26" i="45"/>
  <c r="L22" i="45"/>
  <c r="L27" i="45"/>
  <c r="L21" i="45"/>
  <c r="L24" i="45"/>
  <c r="L20" i="45"/>
  <c r="P217" i="45"/>
  <c r="P219" i="45"/>
  <c r="P65" i="45"/>
  <c r="P68" i="45"/>
  <c r="P69" i="45"/>
  <c r="P67" i="45"/>
  <c r="P64" i="45"/>
  <c r="P66" i="45"/>
  <c r="P170" i="45"/>
  <c r="AA38" i="44" l="1"/>
  <c r="AA50" i="44"/>
  <c r="AA49" i="44"/>
  <c r="AA39" i="44"/>
  <c r="AA47" i="44"/>
  <c r="AA51" i="44"/>
  <c r="AA41" i="44"/>
  <c r="AA40" i="44"/>
  <c r="AA48" i="44"/>
  <c r="AA35" i="44"/>
  <c r="O70" i="45"/>
  <c r="O71" i="45"/>
  <c r="O72" i="45"/>
  <c r="P70" i="45"/>
  <c r="P71" i="45"/>
  <c r="P72" i="45"/>
  <c r="J244" i="45"/>
  <c r="J243" i="45"/>
  <c r="J242" i="45"/>
  <c r="J241" i="45"/>
  <c r="J240" i="45"/>
  <c r="J228" i="45"/>
  <c r="J227" i="45"/>
  <c r="J226" i="45"/>
  <c r="J225" i="45"/>
  <c r="J224" i="45"/>
  <c r="J223" i="45"/>
  <c r="J156" i="45"/>
  <c r="J155" i="45"/>
  <c r="J114" i="45"/>
  <c r="J113" i="45"/>
  <c r="J112" i="45"/>
  <c r="J111" i="45"/>
  <c r="J110" i="45"/>
  <c r="J109" i="45"/>
  <c r="J108" i="45"/>
  <c r="J107" i="45"/>
  <c r="J106" i="45"/>
  <c r="J105" i="45"/>
  <c r="J104" i="45"/>
  <c r="J103" i="45"/>
  <c r="J102" i="45"/>
  <c r="J101" i="45"/>
  <c r="J100" i="45"/>
  <c r="J99" i="45"/>
  <c r="J98" i="45"/>
  <c r="J97" i="45"/>
  <c r="J96" i="45"/>
  <c r="J95" i="45"/>
  <c r="J220" i="45"/>
  <c r="J219" i="45"/>
  <c r="J217" i="45"/>
  <c r="J216" i="45"/>
  <c r="J93" i="45"/>
  <c r="J92" i="45"/>
  <c r="J91" i="45"/>
  <c r="J90" i="45"/>
  <c r="J89" i="45"/>
  <c r="J88" i="45"/>
  <c r="J87" i="45"/>
  <c r="J86" i="45"/>
  <c r="J85" i="45"/>
  <c r="J84" i="45"/>
  <c r="J83" i="45"/>
  <c r="J82" i="45"/>
  <c r="J81" i="45"/>
  <c r="J80" i="45"/>
  <c r="J79" i="45"/>
  <c r="J78" i="45"/>
  <c r="J77" i="45"/>
  <c r="J76" i="45"/>
  <c r="J208" i="45"/>
  <c r="J207" i="45"/>
  <c r="J206" i="45"/>
  <c r="J205" i="45"/>
  <c r="J204" i="45"/>
  <c r="J203" i="45"/>
  <c r="J201" i="45"/>
  <c r="J200" i="45"/>
  <c r="J199" i="45"/>
  <c r="J197" i="45"/>
  <c r="J196" i="45"/>
  <c r="J195" i="45"/>
  <c r="K195" i="45" s="1"/>
  <c r="J194" i="45"/>
  <c r="J193" i="45"/>
  <c r="J192" i="45"/>
  <c r="J191" i="45"/>
  <c r="J189" i="45"/>
  <c r="J188" i="45"/>
  <c r="J187" i="45"/>
  <c r="J186" i="45"/>
  <c r="J185" i="45"/>
  <c r="J184" i="45"/>
  <c r="J183" i="45"/>
  <c r="J182" i="45"/>
  <c r="J181" i="45"/>
  <c r="J180" i="45"/>
  <c r="J178" i="45"/>
  <c r="J177" i="45"/>
  <c r="J176" i="45"/>
  <c r="J175" i="45"/>
  <c r="J174" i="45"/>
  <c r="J173" i="45"/>
  <c r="J172" i="45"/>
  <c r="J171" i="45"/>
  <c r="J170" i="45"/>
  <c r="J169" i="45"/>
  <c r="J168" i="45"/>
  <c r="J166" i="45"/>
  <c r="J75" i="45"/>
  <c r="K75" i="45" s="1"/>
  <c r="J74" i="45"/>
  <c r="J73" i="45"/>
  <c r="J72" i="45"/>
  <c r="J71" i="45"/>
  <c r="J154" i="45"/>
  <c r="J153" i="45"/>
  <c r="J152" i="45"/>
  <c r="J151" i="45"/>
  <c r="J149" i="45"/>
  <c r="J148" i="45"/>
  <c r="J146" i="45"/>
  <c r="J144" i="45"/>
  <c r="J38" i="45"/>
  <c r="J133" i="45"/>
  <c r="J132" i="45"/>
  <c r="J131" i="45"/>
  <c r="J130" i="45"/>
  <c r="J128" i="45"/>
  <c r="J127" i="45"/>
  <c r="J126" i="45"/>
  <c r="J124" i="45"/>
  <c r="J123" i="45"/>
  <c r="J142" i="45"/>
  <c r="J141" i="45"/>
  <c r="J69" i="45"/>
  <c r="J68" i="45"/>
  <c r="J67" i="45"/>
  <c r="J66" i="45"/>
  <c r="J65" i="45"/>
  <c r="J64" i="45"/>
  <c r="J57" i="45"/>
  <c r="J56" i="45"/>
  <c r="J55" i="45"/>
  <c r="J54" i="45"/>
  <c r="J52" i="45"/>
  <c r="J51" i="45"/>
  <c r="J50" i="45"/>
  <c r="K50" i="45" s="1"/>
  <c r="J49" i="45"/>
  <c r="J40" i="45"/>
  <c r="J39" i="45"/>
  <c r="K39" i="45" s="1"/>
  <c r="J36" i="45"/>
  <c r="J35" i="45"/>
  <c r="J34" i="45"/>
  <c r="J27" i="45"/>
  <c r="J26" i="45"/>
  <c r="J48" i="45"/>
  <c r="J24" i="45"/>
  <c r="J23" i="45"/>
  <c r="J22" i="45"/>
  <c r="K22" i="45" s="1"/>
  <c r="J21" i="45"/>
  <c r="J20" i="45"/>
  <c r="J14" i="45"/>
  <c r="J13" i="45"/>
  <c r="J12" i="45"/>
  <c r="J11" i="45"/>
  <c r="J10" i="45"/>
  <c r="J9" i="45"/>
  <c r="K64" i="45" l="1"/>
  <c r="K115" i="45" s="1"/>
  <c r="K183" i="45"/>
  <c r="K201" i="45"/>
  <c r="K81" i="45"/>
  <c r="K220" i="45"/>
  <c r="K98" i="45"/>
  <c r="K102" i="45"/>
  <c r="K106" i="45"/>
  <c r="K110" i="45"/>
  <c r="K114" i="45"/>
  <c r="K224" i="45"/>
  <c r="K228" i="45"/>
  <c r="K243" i="45"/>
  <c r="J58" i="45"/>
  <c r="K48" i="45"/>
  <c r="K58" i="45" s="1"/>
  <c r="N54" i="45"/>
  <c r="K54" i="45"/>
  <c r="K127" i="45"/>
  <c r="K152" i="45"/>
  <c r="K178" i="45"/>
  <c r="K196" i="45"/>
  <c r="K85" i="45"/>
  <c r="K23" i="45"/>
  <c r="K55" i="45"/>
  <c r="K65" i="45"/>
  <c r="K69" i="45"/>
  <c r="K124" i="45"/>
  <c r="K130" i="45"/>
  <c r="K38" i="45"/>
  <c r="K148" i="45"/>
  <c r="K153" i="45"/>
  <c r="K72" i="45"/>
  <c r="J209" i="45"/>
  <c r="N183" i="45" s="1"/>
  <c r="K166" i="45"/>
  <c r="K209" i="45" s="1"/>
  <c r="K171" i="45"/>
  <c r="K175" i="45"/>
  <c r="K180" i="45"/>
  <c r="K184" i="45"/>
  <c r="K188" i="45"/>
  <c r="K193" i="45"/>
  <c r="K197" i="45"/>
  <c r="K203" i="45"/>
  <c r="K207" i="45"/>
  <c r="K78" i="45"/>
  <c r="K82" i="45"/>
  <c r="K86" i="45"/>
  <c r="K90" i="45"/>
  <c r="J234" i="45"/>
  <c r="N217" i="45" s="1"/>
  <c r="K216" i="45"/>
  <c r="K234" i="45" s="1"/>
  <c r="K95" i="45"/>
  <c r="K99" i="45"/>
  <c r="K103" i="45"/>
  <c r="K107" i="45"/>
  <c r="K111" i="45"/>
  <c r="K155" i="45"/>
  <c r="N225" i="45"/>
  <c r="K225" i="45"/>
  <c r="K240" i="45"/>
  <c r="K244" i="45"/>
  <c r="K13" i="45"/>
  <c r="N49" i="45"/>
  <c r="K49" i="45"/>
  <c r="J134" i="45"/>
  <c r="N124" i="45" s="1"/>
  <c r="N123" i="45"/>
  <c r="K123" i="45"/>
  <c r="K134" i="45" s="1"/>
  <c r="K146" i="45"/>
  <c r="N170" i="45"/>
  <c r="K170" i="45"/>
  <c r="N187" i="45"/>
  <c r="K187" i="45"/>
  <c r="N206" i="45"/>
  <c r="K206" i="45"/>
  <c r="K89" i="45"/>
  <c r="K14" i="45"/>
  <c r="K36" i="45"/>
  <c r="K20" i="45"/>
  <c r="K28" i="45" s="1"/>
  <c r="K24" i="45"/>
  <c r="K27" i="45"/>
  <c r="N51" i="45"/>
  <c r="K51" i="45"/>
  <c r="N56" i="45"/>
  <c r="K56" i="45"/>
  <c r="K66" i="45"/>
  <c r="K141" i="45"/>
  <c r="K157" i="45" s="1"/>
  <c r="K125" i="45"/>
  <c r="N131" i="45"/>
  <c r="K131" i="45"/>
  <c r="K144" i="45"/>
  <c r="K149" i="45"/>
  <c r="K154" i="45"/>
  <c r="K73" i="45"/>
  <c r="N168" i="45"/>
  <c r="K168" i="45"/>
  <c r="N172" i="45"/>
  <c r="K172" i="45"/>
  <c r="N176" i="45"/>
  <c r="K176" i="45"/>
  <c r="N181" i="45"/>
  <c r="K181" i="45"/>
  <c r="N185" i="45"/>
  <c r="K185" i="45"/>
  <c r="N189" i="45"/>
  <c r="K189" i="45"/>
  <c r="N194" i="45"/>
  <c r="K194" i="45"/>
  <c r="N199" i="45"/>
  <c r="K199" i="45"/>
  <c r="N204" i="45"/>
  <c r="K204" i="45"/>
  <c r="N208" i="45"/>
  <c r="K208" i="45"/>
  <c r="K79" i="45"/>
  <c r="K83" i="45"/>
  <c r="K87" i="45"/>
  <c r="K91" i="45"/>
  <c r="K217" i="45"/>
  <c r="K96" i="45"/>
  <c r="K100" i="45"/>
  <c r="K104" i="45"/>
  <c r="K108" i="45"/>
  <c r="K112" i="45"/>
  <c r="K156" i="45"/>
  <c r="K226" i="45"/>
  <c r="K241" i="45"/>
  <c r="K9" i="45"/>
  <c r="K35" i="45"/>
  <c r="K68" i="45"/>
  <c r="N133" i="45"/>
  <c r="K133" i="45"/>
  <c r="K71" i="45"/>
  <c r="N174" i="45"/>
  <c r="K174" i="45"/>
  <c r="K192" i="45"/>
  <c r="N192" i="45"/>
  <c r="K77" i="45"/>
  <c r="K93" i="45"/>
  <c r="K10" i="45"/>
  <c r="K26" i="45"/>
  <c r="K11" i="45"/>
  <c r="K12" i="45"/>
  <c r="K21" i="45"/>
  <c r="J25" i="45"/>
  <c r="J41" i="45"/>
  <c r="N38" i="45" s="1"/>
  <c r="Q36" i="45" s="1"/>
  <c r="N34" i="45"/>
  <c r="K34" i="45"/>
  <c r="K41" i="45" s="1"/>
  <c r="K40" i="45"/>
  <c r="N52" i="45"/>
  <c r="K52" i="45"/>
  <c r="N57" i="45"/>
  <c r="K57" i="45"/>
  <c r="K67" i="45"/>
  <c r="K142" i="45"/>
  <c r="N127" i="45"/>
  <c r="K126" i="45"/>
  <c r="N132" i="45"/>
  <c r="K132" i="45"/>
  <c r="J145" i="45"/>
  <c r="K151" i="45"/>
  <c r="J70" i="45"/>
  <c r="K74" i="45"/>
  <c r="N169" i="45"/>
  <c r="K169" i="45"/>
  <c r="N173" i="45"/>
  <c r="K173" i="45"/>
  <c r="N177" i="45"/>
  <c r="K177" i="45"/>
  <c r="N182" i="45"/>
  <c r="K182" i="45"/>
  <c r="N186" i="45"/>
  <c r="K186" i="45"/>
  <c r="N191" i="45"/>
  <c r="K191" i="45"/>
  <c r="N200" i="45"/>
  <c r="K200" i="45"/>
  <c r="N205" i="45"/>
  <c r="K205" i="45"/>
  <c r="K76" i="45"/>
  <c r="K80" i="45"/>
  <c r="K84" i="45"/>
  <c r="K88" i="45"/>
  <c r="K92" i="45"/>
  <c r="K219" i="45"/>
  <c r="K97" i="45"/>
  <c r="K101" i="45"/>
  <c r="K105" i="45"/>
  <c r="K109" i="45"/>
  <c r="K113" i="45"/>
  <c r="K223" i="45"/>
  <c r="N227" i="45"/>
  <c r="K227" i="45"/>
  <c r="K242" i="45"/>
  <c r="J245" i="45"/>
  <c r="N244" i="45" s="1"/>
  <c r="Q242" i="45" s="1"/>
  <c r="N40" i="45" l="1"/>
  <c r="N219" i="45"/>
  <c r="N242" i="45"/>
  <c r="N223" i="45"/>
  <c r="Q218" i="45" s="1"/>
  <c r="N226" i="45"/>
  <c r="N126" i="45"/>
  <c r="Q126" i="45" s="1"/>
  <c r="J15" i="45"/>
  <c r="K25" i="45"/>
  <c r="H158" i="45"/>
  <c r="H159" i="45" s="1"/>
  <c r="I158" i="45"/>
  <c r="I159" i="45" s="1"/>
  <c r="I29" i="45"/>
  <c r="I30" i="45" s="1"/>
  <c r="H29" i="45"/>
  <c r="H30" i="45" s="1"/>
  <c r="N36" i="45"/>
  <c r="Q35" i="45" s="1"/>
  <c r="N218" i="45"/>
  <c r="N234" i="45"/>
  <c r="N233" i="45"/>
  <c r="N231" i="45"/>
  <c r="N222" i="45"/>
  <c r="N221" i="45"/>
  <c r="N230" i="45"/>
  <c r="N229" i="45"/>
  <c r="N232" i="45"/>
  <c r="J235" i="45"/>
  <c r="J236" i="45" s="1"/>
  <c r="N203" i="45"/>
  <c r="N193" i="45"/>
  <c r="Q169" i="45" s="1"/>
  <c r="N184" i="45"/>
  <c r="N175" i="45"/>
  <c r="N166" i="45"/>
  <c r="Q167" i="45" s="1"/>
  <c r="N50" i="45"/>
  <c r="N53" i="45"/>
  <c r="J59" i="45"/>
  <c r="J60" i="45" s="1"/>
  <c r="N228" i="45"/>
  <c r="K70" i="45"/>
  <c r="K145" i="45"/>
  <c r="H42" i="45"/>
  <c r="H43" i="45" s="1"/>
  <c r="I42" i="45"/>
  <c r="I43" i="45" s="1"/>
  <c r="J157" i="45"/>
  <c r="J158" i="45" s="1"/>
  <c r="J159" i="45" s="1"/>
  <c r="I135" i="45"/>
  <c r="I136" i="45" s="1"/>
  <c r="H135" i="45"/>
  <c r="H136" i="45" s="1"/>
  <c r="Q217" i="45"/>
  <c r="N195" i="45"/>
  <c r="N190" i="45"/>
  <c r="N179" i="45"/>
  <c r="N209" i="45"/>
  <c r="N202" i="45"/>
  <c r="N167" i="45"/>
  <c r="N198" i="45"/>
  <c r="J210" i="45"/>
  <c r="J211" i="45" s="1"/>
  <c r="N196" i="45"/>
  <c r="H116" i="45"/>
  <c r="H117" i="45" s="1"/>
  <c r="I116" i="45"/>
  <c r="I117" i="45" s="1"/>
  <c r="K245" i="45"/>
  <c r="J246" i="45" s="1"/>
  <c r="J247" i="45" s="1"/>
  <c r="J28" i="45"/>
  <c r="H235" i="45"/>
  <c r="H236" i="45" s="1"/>
  <c r="I235" i="45"/>
  <c r="I236" i="45" s="1"/>
  <c r="N207" i="45"/>
  <c r="N197" i="45"/>
  <c r="N188" i="45"/>
  <c r="N180" i="45"/>
  <c r="N171" i="45"/>
  <c r="H59" i="45"/>
  <c r="H60" i="45" s="1"/>
  <c r="I59" i="45"/>
  <c r="I60" i="45" s="1"/>
  <c r="N243" i="45"/>
  <c r="Q241" i="45" s="1"/>
  <c r="N224" i="45"/>
  <c r="Q219" i="45" s="1"/>
  <c r="N220" i="45"/>
  <c r="Q220" i="45" s="1"/>
  <c r="N201" i="45"/>
  <c r="N39" i="45"/>
  <c r="Q37" i="45" s="1"/>
  <c r="N37" i="45"/>
  <c r="J42" i="45"/>
  <c r="J43" i="45" s="1"/>
  <c r="N35" i="45"/>
  <c r="Q34" i="45" s="1"/>
  <c r="N241" i="45"/>
  <c r="Q243" i="45" s="1"/>
  <c r="N125" i="45"/>
  <c r="J135" i="45"/>
  <c r="J136" i="45" s="1"/>
  <c r="N240" i="45"/>
  <c r="Q240" i="45" s="1"/>
  <c r="N216" i="45"/>
  <c r="Q216" i="45" s="1"/>
  <c r="I210" i="45"/>
  <c r="I211" i="45" s="1"/>
  <c r="H210" i="45"/>
  <c r="H211" i="45" s="1"/>
  <c r="N130" i="45"/>
  <c r="N55" i="45"/>
  <c r="N178" i="45"/>
  <c r="Q166" i="45" s="1"/>
  <c r="N128" i="45"/>
  <c r="Q127" i="45" s="1"/>
  <c r="N48" i="45"/>
  <c r="J115" i="45"/>
  <c r="J116" i="45" s="1"/>
  <c r="J117" i="45" s="1"/>
  <c r="R23" i="38"/>
  <c r="R22" i="38"/>
  <c r="P21" i="38"/>
  <c r="N20" i="38"/>
  <c r="L19" i="38"/>
  <c r="N70" i="45" l="1"/>
  <c r="N22" i="45"/>
  <c r="N28" i="45"/>
  <c r="J29" i="45"/>
  <c r="J30" i="45" s="1"/>
  <c r="N24" i="45"/>
  <c r="N21" i="45"/>
  <c r="N23" i="45"/>
  <c r="N20" i="45"/>
  <c r="N27" i="45"/>
  <c r="N26" i="45"/>
  <c r="H246" i="45"/>
  <c r="H247" i="45" s="1"/>
  <c r="I246" i="45"/>
  <c r="I247" i="45" s="1"/>
  <c r="Q170" i="45"/>
  <c r="N75" i="45"/>
  <c r="N94" i="45"/>
  <c r="N114" i="45"/>
  <c r="N85" i="45"/>
  <c r="N69" i="45"/>
  <c r="Q69" i="45" s="1"/>
  <c r="N72" i="45"/>
  <c r="N99" i="45"/>
  <c r="N107" i="45"/>
  <c r="N89" i="45"/>
  <c r="N66" i="45"/>
  <c r="Q66" i="45" s="1"/>
  <c r="N79" i="45"/>
  <c r="N87" i="45"/>
  <c r="N108" i="45"/>
  <c r="N77" i="45"/>
  <c r="N101" i="45"/>
  <c r="N76" i="45"/>
  <c r="N92" i="45"/>
  <c r="N105" i="45"/>
  <c r="N113" i="45"/>
  <c r="N84" i="45"/>
  <c r="N64" i="45"/>
  <c r="Q64" i="45" s="1"/>
  <c r="N102" i="45"/>
  <c r="N110" i="45"/>
  <c r="N82" i="45"/>
  <c r="N90" i="45"/>
  <c r="N100" i="45"/>
  <c r="N67" i="45"/>
  <c r="Q67" i="45" s="1"/>
  <c r="N97" i="45"/>
  <c r="N65" i="45"/>
  <c r="Q65" i="45" s="1"/>
  <c r="N95" i="45"/>
  <c r="N111" i="45"/>
  <c r="N73" i="45"/>
  <c r="N83" i="45"/>
  <c r="N91" i="45"/>
  <c r="N96" i="45"/>
  <c r="N104" i="45"/>
  <c r="N112" i="45"/>
  <c r="N68" i="45"/>
  <c r="Q68" i="45" s="1"/>
  <c r="N71" i="45"/>
  <c r="N93" i="45"/>
  <c r="N81" i="45"/>
  <c r="N98" i="45"/>
  <c r="N106" i="45"/>
  <c r="N78" i="45"/>
  <c r="N86" i="45"/>
  <c r="N103" i="45"/>
  <c r="N74" i="45"/>
  <c r="N80" i="45"/>
  <c r="N88" i="45"/>
  <c r="N109" i="45"/>
  <c r="N141" i="45"/>
  <c r="Q147" i="45" s="1"/>
  <c r="N147" i="45"/>
  <c r="N143" i="45"/>
  <c r="N150" i="45"/>
  <c r="N157" i="45"/>
  <c r="N148" i="45"/>
  <c r="Q142" i="45" s="1"/>
  <c r="N155" i="45"/>
  <c r="Q149" i="45" s="1"/>
  <c r="N144" i="45"/>
  <c r="N154" i="45"/>
  <c r="Q146" i="45" s="1"/>
  <c r="N156" i="45"/>
  <c r="Q150" i="45" s="1"/>
  <c r="N152" i="45"/>
  <c r="N153" i="45"/>
  <c r="N149" i="45"/>
  <c r="Q143" i="45" s="1"/>
  <c r="N146" i="45"/>
  <c r="N142" i="45"/>
  <c r="Q148" i="45" s="1"/>
  <c r="N151" i="45"/>
  <c r="Q144" i="45" s="1"/>
  <c r="N145" i="45"/>
  <c r="K15" i="45"/>
  <c r="J16" i="45" s="1"/>
  <c r="J17" i="45" s="1"/>
  <c r="N13" i="45"/>
  <c r="N10" i="45"/>
  <c r="N11" i="45"/>
  <c r="N14" i="45"/>
  <c r="N9" i="45"/>
  <c r="N12" i="45"/>
  <c r="Q168" i="45"/>
  <c r="N25" i="45"/>
  <c r="Q141" i="45" l="1"/>
  <c r="Q72" i="45"/>
  <c r="Q145" i="45"/>
  <c r="H16" i="45"/>
  <c r="H17" i="45" s="1"/>
  <c r="I16" i="45"/>
  <c r="I17" i="45" s="1"/>
  <c r="Q71" i="45"/>
  <c r="Q70" i="45"/>
  <c r="R36" i="38" l="1"/>
  <c r="T34" i="38"/>
  <c r="R33" i="38"/>
  <c r="P33" i="38"/>
  <c r="J30" i="38"/>
  <c r="H30" i="38"/>
  <c r="T28" i="38"/>
  <c r="T27" i="38"/>
  <c r="R27" i="38"/>
  <c r="T26" i="38"/>
  <c r="T24" i="38"/>
  <c r="P23" i="38"/>
  <c r="P22" i="38"/>
  <c r="N21" i="38"/>
  <c r="L20" i="38"/>
  <c r="J19" i="38"/>
  <c r="H19" i="38"/>
  <c r="H45" i="38" s="1"/>
  <c r="G45" i="38" s="1"/>
  <c r="G18" i="21" l="1"/>
  <c r="G23" i="21"/>
  <c r="G26" i="21" l="1"/>
  <c r="P32" i="38"/>
  <c r="F15" i="38"/>
  <c r="F16" i="38"/>
  <c r="T36" i="38"/>
  <c r="J22" i="38" l="1"/>
  <c r="R25" i="38"/>
  <c r="T33" i="38"/>
  <c r="P27" i="38"/>
  <c r="J20" i="38"/>
  <c r="T35" i="38"/>
  <c r="R28" i="38"/>
  <c r="N23" i="38"/>
  <c r="L23" i="38"/>
  <c r="F14" i="38"/>
  <c r="F45" i="38" s="1"/>
  <c r="E45" i="38" s="1"/>
  <c r="N14" i="38"/>
  <c r="N45" i="38" s="1"/>
  <c r="L14" i="38"/>
  <c r="L45" i="38" s="1"/>
  <c r="P14" i="38"/>
  <c r="P45" i="38" s="1"/>
  <c r="J14" i="38"/>
  <c r="J45" i="38" s="1"/>
  <c r="R14" i="38"/>
  <c r="R45" i="38" s="1"/>
  <c r="Q45" i="38" s="1"/>
  <c r="N26" i="38" l="1"/>
  <c r="G29" i="21"/>
  <c r="G46" i="21" s="1"/>
  <c r="R26" i="38"/>
  <c r="L22" i="38"/>
  <c r="N22" i="38"/>
  <c r="P26" i="38"/>
  <c r="R34" i="38"/>
  <c r="L21" i="38"/>
  <c r="D33" i="38" l="1"/>
  <c r="D30" i="38"/>
  <c r="D26" i="38"/>
  <c r="D21" i="38"/>
  <c r="D16" i="38"/>
  <c r="D34" i="38"/>
  <c r="D23" i="38"/>
  <c r="D27" i="38"/>
  <c r="D20" i="38"/>
  <c r="D17" i="38"/>
  <c r="D31" i="38"/>
  <c r="D35" i="38"/>
  <c r="D24" i="38"/>
  <c r="D28" i="38"/>
  <c r="D32" i="38"/>
  <c r="D36" i="38"/>
  <c r="D22" i="38"/>
  <c r="D15" i="38"/>
  <c r="D25" i="38"/>
  <c r="M45" i="38"/>
  <c r="K45" i="38"/>
  <c r="O45" i="38"/>
  <c r="I45" i="38"/>
  <c r="D14" i="38"/>
  <c r="F46" i="38" l="1"/>
  <c r="H46" i="38" s="1"/>
  <c r="J46" i="38" l="1"/>
  <c r="L46" i="38" s="1"/>
  <c r="E46" i="38"/>
  <c r="N46" i="38" l="1"/>
  <c r="P46" i="38" s="1"/>
  <c r="R46" i="38" s="1"/>
  <c r="G46" i="38"/>
  <c r="T46" i="38" l="1"/>
  <c r="S46" i="38" s="1"/>
  <c r="I46" i="38"/>
  <c r="K46" i="38" l="1"/>
  <c r="M46" i="38" l="1"/>
  <c r="O46" i="38" l="1"/>
  <c r="Q46" i="38" l="1"/>
  <c r="H50" i="44" l="1"/>
  <c r="L50" i="44" s="1"/>
  <c r="H51" i="44"/>
  <c r="I51" i="44" s="1"/>
  <c r="M51" i="44" s="1"/>
  <c r="J50" i="44"/>
  <c r="J51" i="44"/>
  <c r="F60" i="44"/>
  <c r="J60" i="44" s="1"/>
  <c r="L51" i="44" l="1"/>
  <c r="I50" i="44"/>
  <c r="M50" i="44" s="1"/>
  <c r="H60" i="44"/>
  <c r="I60" i="44" l="1"/>
  <c r="M60" i="44" s="1"/>
  <c r="L60" i="44"/>
  <c r="M57" i="44"/>
  <c r="N55" i="44" l="1"/>
  <c r="N53" i="44"/>
  <c r="N54" i="44"/>
  <c r="N50" i="44"/>
  <c r="Q57" i="44"/>
  <c r="M62" i="44"/>
  <c r="O49" i="44"/>
  <c r="N56" i="44"/>
  <c r="N49" i="44"/>
  <c r="N52" i="44"/>
  <c r="N51" i="44"/>
  <c r="N60" i="44" l="1"/>
  <c r="Q62" i="44"/>
  <c r="M114" i="44"/>
  <c r="N59" i="44"/>
  <c r="N61" i="44"/>
  <c r="O59" i="44"/>
  <c r="N57" i="44" l="1"/>
  <c r="Q115" i="44"/>
  <c r="N62" i="44"/>
  <c r="O114" i="44"/>
  <c r="N88" i="44"/>
  <c r="N25" i="44"/>
  <c r="N103" i="44"/>
  <c r="N17" i="44"/>
  <c r="N47" i="44"/>
  <c r="N113" i="44"/>
</calcChain>
</file>

<file path=xl/sharedStrings.xml><?xml version="1.0" encoding="utf-8"?>
<sst xmlns="http://schemas.openxmlformats.org/spreadsheetml/2006/main" count="2382" uniqueCount="1137">
  <si>
    <t>ITEM</t>
  </si>
  <si>
    <t>2.1</t>
  </si>
  <si>
    <t>2.2</t>
  </si>
  <si>
    <t>3.1</t>
  </si>
  <si>
    <t>3.3</t>
  </si>
  <si>
    <t>4.1</t>
  </si>
  <si>
    <t>4.1.1</t>
  </si>
  <si>
    <t>4.1.2</t>
  </si>
  <si>
    <t>4.1.3</t>
  </si>
  <si>
    <t>4.2</t>
  </si>
  <si>
    <t>5.1</t>
  </si>
  <si>
    <t>5.1.1</t>
  </si>
  <si>
    <t>5.1.2</t>
  </si>
  <si>
    <t>5.1.3</t>
  </si>
  <si>
    <t>5.1.4</t>
  </si>
  <si>
    <t>5.2</t>
  </si>
  <si>
    <t>5.2.1</t>
  </si>
  <si>
    <t>5.2.2</t>
  </si>
  <si>
    <t>6.1</t>
  </si>
  <si>
    <t>6.1.1</t>
  </si>
  <si>
    <t>6.1.2</t>
  </si>
  <si>
    <t>6.1.3</t>
  </si>
  <si>
    <t>6.2</t>
  </si>
  <si>
    <t>6.2.1</t>
  </si>
  <si>
    <t>6.2.2</t>
  </si>
  <si>
    <t>6.3</t>
  </si>
  <si>
    <t>6.3.1</t>
  </si>
  <si>
    <t>6.3.2</t>
  </si>
  <si>
    <t>6.3.3</t>
  </si>
  <si>
    <t>7.1</t>
  </si>
  <si>
    <t>7.1.1</t>
  </si>
  <si>
    <t>7.1.2</t>
  </si>
  <si>
    <t>7.1.3</t>
  </si>
  <si>
    <t>7.2</t>
  </si>
  <si>
    <t>7.2.1</t>
  </si>
  <si>
    <t>7.3</t>
  </si>
  <si>
    <t>7.3.1</t>
  </si>
  <si>
    <t>8.1</t>
  </si>
  <si>
    <t>8.2</t>
  </si>
  <si>
    <t>8.3</t>
  </si>
  <si>
    <t>COMPLEMENTAÇÃO DA OBRA</t>
  </si>
  <si>
    <t/>
  </si>
  <si>
    <t>SUB-ITEM</t>
  </si>
  <si>
    <t>DISCRIMINAÇÃO</t>
  </si>
  <si>
    <t>UNID.</t>
  </si>
  <si>
    <t>PREÇO TOTAL (R$)</t>
  </si>
  <si>
    <t>PREÇO UNITÁRIO (R$)</t>
  </si>
  <si>
    <t>SUBTOTAL (R$)</t>
  </si>
  <si>
    <t>M2</t>
  </si>
  <si>
    <t>7.2.2</t>
  </si>
  <si>
    <t>UD</t>
  </si>
  <si>
    <t>1.1</t>
  </si>
  <si>
    <t>1.2</t>
  </si>
  <si>
    <t>1.3</t>
  </si>
  <si>
    <t>SERVIÇOS GERAIS</t>
  </si>
  <si>
    <t>2.3</t>
  </si>
  <si>
    <t>2.4</t>
  </si>
  <si>
    <t>2.5</t>
  </si>
  <si>
    <t>ADMINISTRAÇÃO LOCAL DA OBRA</t>
  </si>
  <si>
    <t>ENGENHEIRO CIVIL DE OBRA JUNIOR COM ENCARGOS COMPLEMENTARES</t>
  </si>
  <si>
    <t>MÊS</t>
  </si>
  <si>
    <t>MESTRE DE OBRAS COM ENCARGOS COMPLEMENTARES</t>
  </si>
  <si>
    <t>APONTADOR OU APROPRIADOR COM ENCARGOS COMPLEMENTARES</t>
  </si>
  <si>
    <t>VIGIA NOTURNO COM ENCARGOS COMPLEMENTARES</t>
  </si>
  <si>
    <t>1.1.1</t>
  </si>
  <si>
    <t>1.1.2</t>
  </si>
  <si>
    <t>1.1.3</t>
  </si>
  <si>
    <t>1.1.4</t>
  </si>
  <si>
    <t>1.2.1</t>
  </si>
  <si>
    <t>1.3.1</t>
  </si>
  <si>
    <t>1.2.2</t>
  </si>
  <si>
    <t>1.2.3</t>
  </si>
  <si>
    <t>1.2.4</t>
  </si>
  <si>
    <t>3.1.1</t>
  </si>
  <si>
    <t>3.1.2</t>
  </si>
  <si>
    <t>3.1.3</t>
  </si>
  <si>
    <t>3.1.4</t>
  </si>
  <si>
    <t>3.2</t>
  </si>
  <si>
    <t>3.2.1</t>
  </si>
  <si>
    <t>3.2.2</t>
  </si>
  <si>
    <t>3.2.3</t>
  </si>
  <si>
    <t>3.3.1</t>
  </si>
  <si>
    <t>3.3.2</t>
  </si>
  <si>
    <t>5.3</t>
  </si>
  <si>
    <t>5.4</t>
  </si>
  <si>
    <t>7.1.4</t>
  </si>
  <si>
    <t>7.1.5</t>
  </si>
  <si>
    <t>7.1.6</t>
  </si>
  <si>
    <t>7.4</t>
  </si>
  <si>
    <t>7.4.1</t>
  </si>
  <si>
    <t>7.4.2</t>
  </si>
  <si>
    <t>7.4.3</t>
  </si>
  <si>
    <t>5.3.1</t>
  </si>
  <si>
    <t>5.3.2</t>
  </si>
  <si>
    <t>5.4.1</t>
  </si>
  <si>
    <t>5.5.1</t>
  </si>
  <si>
    <t>6.3.4</t>
  </si>
  <si>
    <t>7.1.1.1</t>
  </si>
  <si>
    <t>7.1.1.2</t>
  </si>
  <si>
    <t>7.1.1.3</t>
  </si>
  <si>
    <t>7.1.1.4</t>
  </si>
  <si>
    <t>7.1.1.5</t>
  </si>
  <si>
    <t>7.1.1.6</t>
  </si>
  <si>
    <t>7.1.1.7</t>
  </si>
  <si>
    <t>7.1.2.1</t>
  </si>
  <si>
    <t>7.1.2.2</t>
  </si>
  <si>
    <t>7.1.2.3</t>
  </si>
  <si>
    <t>7.1.2.4</t>
  </si>
  <si>
    <t>7.1.2.5</t>
  </si>
  <si>
    <t>7.1.2.6</t>
  </si>
  <si>
    <t>7.1.2.7</t>
  </si>
  <si>
    <t>7.1.2.8</t>
  </si>
  <si>
    <t>7.1.2.9</t>
  </si>
  <si>
    <t>7.1.2.10</t>
  </si>
  <si>
    <t>7.1.3.1</t>
  </si>
  <si>
    <t>7.1.3.2</t>
  </si>
  <si>
    <t>7.1.3.3</t>
  </si>
  <si>
    <t>7.1.3.4</t>
  </si>
  <si>
    <t>7.1.3.5</t>
  </si>
  <si>
    <t>7.1.3.6</t>
  </si>
  <si>
    <t>7.1.3.7</t>
  </si>
  <si>
    <t>7.1.4.1</t>
  </si>
  <si>
    <t>7.1.4.2</t>
  </si>
  <si>
    <t>7.1.4.3</t>
  </si>
  <si>
    <t>7.1.4.4</t>
  </si>
  <si>
    <t>7.1.4.5</t>
  </si>
  <si>
    <t>7.1.5.1</t>
  </si>
  <si>
    <t>7.1.5.2</t>
  </si>
  <si>
    <t>7.1.5.3</t>
  </si>
  <si>
    <t>7.1.6.1</t>
  </si>
  <si>
    <t>7.1.6.2</t>
  </si>
  <si>
    <t>7.1.6.3</t>
  </si>
  <si>
    <t>7.1.6.4</t>
  </si>
  <si>
    <t>7.1.6.5</t>
  </si>
  <si>
    <t>7.1.6.6</t>
  </si>
  <si>
    <t>7.2.1.1</t>
  </si>
  <si>
    <t>7.2.1.2</t>
  </si>
  <si>
    <t>7.2.1.3</t>
  </si>
  <si>
    <t>7.2.1.4</t>
  </si>
  <si>
    <t>7.2.1.5</t>
  </si>
  <si>
    <t>7.2.1.7</t>
  </si>
  <si>
    <t>7.2.1.8</t>
  </si>
  <si>
    <t>7.2.1.9</t>
  </si>
  <si>
    <t>7.2.1.10</t>
  </si>
  <si>
    <t>7.2.1.12</t>
  </si>
  <si>
    <t>7.2.1.13</t>
  </si>
  <si>
    <t>7.2.1.14</t>
  </si>
  <si>
    <t>7.2.1.15</t>
  </si>
  <si>
    <t>7.2.2.1</t>
  </si>
  <si>
    <t>7.2.2.2</t>
  </si>
  <si>
    <t>7.3.1.1</t>
  </si>
  <si>
    <t>7.3.1.2</t>
  </si>
  <si>
    <t>7.3.1.3</t>
  </si>
  <si>
    <t>7.3.1.4</t>
  </si>
  <si>
    <t>7.3.1.5</t>
  </si>
  <si>
    <t>7.3.1.6</t>
  </si>
  <si>
    <t>7.3.1.7</t>
  </si>
  <si>
    <t>7.3.1.8</t>
  </si>
  <si>
    <t>7.3.1.9</t>
  </si>
  <si>
    <t>7.3.1.10</t>
  </si>
  <si>
    <t>7.3.1.11</t>
  </si>
  <si>
    <t>7.3.1.12</t>
  </si>
  <si>
    <t>7.3.1.13</t>
  </si>
  <si>
    <t>7.3.1.14</t>
  </si>
  <si>
    <t>7.3.1.15</t>
  </si>
  <si>
    <t>7.3.1.16</t>
  </si>
  <si>
    <t>ENTRADA PROVISÓRIA DE ÁGUA E ESGOTO</t>
  </si>
  <si>
    <t>1.4</t>
  </si>
  <si>
    <t>4.2.1</t>
  </si>
  <si>
    <t>4.2.2</t>
  </si>
  <si>
    <t>4.2.3</t>
  </si>
  <si>
    <t>4.2.4</t>
  </si>
  <si>
    <t>3.4</t>
  </si>
  <si>
    <t>3.5</t>
  </si>
  <si>
    <t>3.6</t>
  </si>
  <si>
    <t>3.7</t>
  </si>
  <si>
    <t>QUANT.</t>
  </si>
  <si>
    <t>Sócio Administrador</t>
  </si>
  <si>
    <t>_______________________________</t>
  </si>
  <si>
    <t>INFRAESTRUTURA</t>
  </si>
  <si>
    <t>TERRAPLENAGEM</t>
  </si>
  <si>
    <t>PAVIMENTAÇÃO</t>
  </si>
  <si>
    <t>TOTAL DO ITEM</t>
  </si>
  <si>
    <t>% DO PREÇO TOTAL</t>
  </si>
  <si>
    <t>PRAZO DE EXECUÇÃO (MESES)</t>
  </si>
  <si>
    <t>%</t>
  </si>
  <si>
    <t>R$</t>
  </si>
  <si>
    <t>PREÇO TOTAL</t>
  </si>
  <si>
    <t>PREÇO ACUMULADO</t>
  </si>
  <si>
    <t>ENTRADA PROVISÓRIA DE ENERGIA ELÉTRICA AÉREA TRIFÁSICA 40A EM POSTE DE MADEIRA</t>
  </si>
  <si>
    <t>VB</t>
  </si>
  <si>
    <t>EDIFICAÇÕES</t>
  </si>
  <si>
    <t>5.4.2</t>
  </si>
  <si>
    <t>5.4.1.1</t>
  </si>
  <si>
    <t>5.4.1.2</t>
  </si>
  <si>
    <t>5.4.1.3</t>
  </si>
  <si>
    <t>5.4.1.4</t>
  </si>
  <si>
    <t>5.4.1.5</t>
  </si>
  <si>
    <t>5.4.1.6</t>
  </si>
  <si>
    <t>5.4.2.1</t>
  </si>
  <si>
    <t>5.4.2.2</t>
  </si>
  <si>
    <t>5.4.3.1</t>
  </si>
  <si>
    <t>Item</t>
  </si>
  <si>
    <t>Sub-item</t>
  </si>
  <si>
    <t>Discriminação</t>
  </si>
  <si>
    <t>Unid.</t>
  </si>
  <si>
    <t>Quant.</t>
  </si>
  <si>
    <t>Preço Unitário (R$)</t>
  </si>
  <si>
    <t>Preço Total (R$)</t>
  </si>
  <si>
    <t>Infra-Estrutura</t>
  </si>
  <si>
    <t>Trabalho em Terra</t>
  </si>
  <si>
    <t>Locação convencional de obra, através de gabarito de tábuas corridas pontaleteadas, com reaproveitamento de 3 vezes</t>
  </si>
  <si>
    <t>m²</t>
  </si>
  <si>
    <t>Escavação de valas, até 2,00m</t>
  </si>
  <si>
    <t>m³</t>
  </si>
  <si>
    <t>Reaterro apiloado de valas</t>
  </si>
  <si>
    <t>Aterro apiloado interno</t>
  </si>
  <si>
    <t>Estaca broca - Ø 20cm - em concreto - traço 1:3:5</t>
  </si>
  <si>
    <t>m</t>
  </si>
  <si>
    <t>Vigas de baldrame em concreto armado, com armação utilizando CA-50, concreto fck = 20MPa (traço 1:2:4), para empreendimentos</t>
  </si>
  <si>
    <t>Sub-Total (R$)</t>
  </si>
  <si>
    <t>Supra-Estrutura</t>
  </si>
  <si>
    <t>Pilaretes em concreto - fck = 20MPa - traço 1:2:4, para empreendimentos</t>
  </si>
  <si>
    <t>Cinta de oitão em concreto - fck = 20MPa - traço 1:2:4, para empreendimentos</t>
  </si>
  <si>
    <t>Vigas de cobertura em concreto armado, com armação utilizando CA-50, concreto fck = 20MPa (traço 1:2:4), para empreendimentos</t>
  </si>
  <si>
    <t>Pilares em concreto armado, com armação utilizando CA-50, concreto fck = 20MPa (traço 1:2:4), para empreendimentos</t>
  </si>
  <si>
    <t>Laje pré-moldada p/forro, sobrecarga 100kg/m², vãos até 3,50m/e = 8cm, c/lajotas e cap. c/conc fck = 20MPa, 3cm, inter-eixo 38cm, c/escoramento (reapr. 3x) e ferragem negatriva</t>
  </si>
  <si>
    <t>Alvenaria de elevação com tijolos cerâmicos furados 9x14x19cm, assente com argamassa mista de cal, areia e cimento no traço 1:4, espessura da junta: 12mm, espessura da parede (a espelho) ou ½ vez) de 9cm</t>
  </si>
  <si>
    <t>Alvenaria de elevação com tijolos cerâmicos furados 9x14x19cm, assente com argamassa mista de cal, areia e cimento no traço 1:4, espessura da junta: 12mm, espessura da parede (a espelho) ou ½ vez) de 9cm para oitão</t>
  </si>
  <si>
    <t>Vergas em concreto, molkdada in loco - fck = 20MPa - traço 1:2:4, utilizando armação CA-50, para empreendimentos</t>
  </si>
  <si>
    <t>Contra-vergas em concreto, molkdada in loco - fck = 20MPa - traço 1:2:4, utilizando armação CA-50, para empreendimentos</t>
  </si>
  <si>
    <t>Esquadrias Metálicas</t>
  </si>
  <si>
    <t>Esquadria de alumínio - basculante, com vidro</t>
  </si>
  <si>
    <t>Esquadria de alumínio - de correr, com vidro</t>
  </si>
  <si>
    <t>Porta de alumínio - perfil 25 - tipo mista - c/vidro (externa)</t>
  </si>
  <si>
    <t>un</t>
  </si>
  <si>
    <t>Esquadrias de Madeira</t>
  </si>
  <si>
    <t>Cobertura e Proteções</t>
  </si>
  <si>
    <t>Cobertura</t>
  </si>
  <si>
    <t>Estrutura de madeira pontaleteada para telha cerâmica (tipo cedrinho, canafístula ou cambará)</t>
  </si>
  <si>
    <t>Telhamento com telha cerâmica de encaixe, tipo portuguesa, com até 2 águas, incluso transporte vertical</t>
  </si>
  <si>
    <t>Cumeeira para telha cerâmica emboçada com argamassa traço 1:2:9 (cimento, cal e areia) para telhados com até 2 águas, incluso transporte vertical</t>
  </si>
  <si>
    <t>Proteções</t>
  </si>
  <si>
    <t>Impermeabilização de estruturas enterradas, com tinta asfáltica, duas demãos</t>
  </si>
  <si>
    <t>Impermeabilização de superfície com emulsão asfáltica a base d'água</t>
  </si>
  <si>
    <t>Rufo em chapa de aço galvanizado número 24, corte de 25cm, incluso transporte vertical</t>
  </si>
  <si>
    <t>Pintura imunizante e fungicida para madeira de cobertura</t>
  </si>
  <si>
    <t>Revestimentos, Pinturas e Forros</t>
  </si>
  <si>
    <t>Revestimentos Internos</t>
  </si>
  <si>
    <t>Chapisco aplicado em paredes internas, com colher de pedreiro, argamassa de cimento e areia no traço 1:4, preparado em betoneira 400 litros</t>
  </si>
  <si>
    <t>Chapisco aplicado no teto, aplicação com colher de pedreiro, argamassa de cimento e areia no traço 1:4, preparado manual</t>
  </si>
  <si>
    <t>Emboço paulista/massa única, em argamassa traço 1:2:8, preparo mecânico com betoneira 400 litros, aplicado manualmente em paredes, espessura de 20mm, com execução de taliscas</t>
  </si>
  <si>
    <t>Emboço paulista/massa única, em argamassa traço 1:2:8, preparo mecânico com betoneira 400 litros, aplicado manualmente em teto, espessura de 10mm, com execução de taliscas</t>
  </si>
  <si>
    <t>Chapisco aplicado externamente, com colher de pedreiro, argamassa de cimento e areia no traço 1:3, preparado em betoneira 400 litros</t>
  </si>
  <si>
    <t>Azulejos</t>
  </si>
  <si>
    <t>Azulejo, assente com cimento colante - interno</t>
  </si>
  <si>
    <t>Azulejo, assente com cimento colante - externo</t>
  </si>
  <si>
    <t>Pinturas</t>
  </si>
  <si>
    <t>Pintura Interna</t>
  </si>
  <si>
    <t>Aplicação e lixamento de massa látex em paredes, uma demão</t>
  </si>
  <si>
    <t>Aplicação manual de pintura com tinta látex PVA em paredes, duas demãos</t>
  </si>
  <si>
    <t>Aplicação e lixamento de massa látex em teto, uma demão</t>
  </si>
  <si>
    <t xml:space="preserve">Aplicação manual de pintura com tinta látex PVA em teto, duas demãos </t>
  </si>
  <si>
    <t xml:space="preserve">Aplicação manual de pintura com tinta látex acrílica em teto, duas demãos </t>
  </si>
  <si>
    <t>Pintura Externa</t>
  </si>
  <si>
    <t>Pintura esmalte fosco, em madeira, duas demãos</t>
  </si>
  <si>
    <t>Forro no beiral, em PVC - completo</t>
  </si>
  <si>
    <t>Pavimentações</t>
  </si>
  <si>
    <t>Piso Cimentado</t>
  </si>
  <si>
    <t>Camada drenante com brita núm 2</t>
  </si>
  <si>
    <t>Execução de passeio (calçada) ou piso de concreto com concreto moldado in loco, usinado, acabamento convencional, não armado</t>
  </si>
  <si>
    <t>Piso Cerâmico</t>
  </si>
  <si>
    <t>Piso cimentado traço 1:4 (cimento e areia) acabamento liso espessura 2,0cm, preparo manual da argamassa</t>
  </si>
  <si>
    <t>Rodapé, Soleira e Peitoril</t>
  </si>
  <si>
    <t>Rodapé cerâmico de 7cm de altura com placas tipo esmaltada extra de dimensões 35x35cm</t>
  </si>
  <si>
    <t>Soleira cerâmica - (a mesma do piso) - aplicada</t>
  </si>
  <si>
    <t>Soleira de pedra natural - L = 15cm/e = 3cm - portas externas</t>
  </si>
  <si>
    <t>Peitoril pré-moldado de granilite, marmorite ou granitina L = 15cm</t>
  </si>
  <si>
    <t>Instalações</t>
  </si>
  <si>
    <t>Elétrica e Telefônica</t>
  </si>
  <si>
    <t>Tubulação Elétrica</t>
  </si>
  <si>
    <t>Caixa octogonal 4"x4", metálica, instalada em laje</t>
  </si>
  <si>
    <t>Curva 90 graus para eletroduto, PVC, roscável, DN 32mm (1"), para circuitos terminais, instalada em laje</t>
  </si>
  <si>
    <t>Eletroduto rígido roscável, PVC, DN 32mm (1"), para circuitos terminais. Instalado em laje</t>
  </si>
  <si>
    <t>Luva para eletroduto, PVC, roscável, DN 32mm (1"), para circuitos terminais, instalada em laje</t>
  </si>
  <si>
    <t>Eletroduto flexível corrugado, PVC, DN 20mm (½"), para circuitos terminais, instalado em laje</t>
  </si>
  <si>
    <t>Quadro de distribuição de energia em chapa de aço galvanizado, para 12 disjuntores termomagnéticos monopolares, com barramento trifásico e neutro</t>
  </si>
  <si>
    <t>Fiação Elétrica</t>
  </si>
  <si>
    <t>Cabo de cobre flexível isolado, 1,5mm², anti-chama 450/750V, para circuitos terminais</t>
  </si>
  <si>
    <t>Cabo de cobre flexível isolado, 10,0mm², anti-chama 450/750V, para circuitos terminais</t>
  </si>
  <si>
    <t>Cabo de cobre flexível isolado, 2,5mm², anti-chama 450/750V, para circuitos terminais</t>
  </si>
  <si>
    <t>Cabo de cobre flexível isolado, 4,0mm², anti-chama 450/750V, para circuitos terminais</t>
  </si>
  <si>
    <t>Cabo de cobre flexível isolado, 6,0mm², anti-chama 450/750V, para circuitos terminais</t>
  </si>
  <si>
    <t>Terminal ou conector de pressão - para cabo 10mm²</t>
  </si>
  <si>
    <t>Disjuntor monopolar tipo DIN, corrente nominal de 16A</t>
  </si>
  <si>
    <t>Disjuntor monopolar tipo DIN, corrente nominal de 20A</t>
  </si>
  <si>
    <t>Disjuntor bipolar tipo DIN, corrente nominal de 32A</t>
  </si>
  <si>
    <t>Acessórios Elétricos</t>
  </si>
  <si>
    <t>Luminária tipo tartaruga para área externa em alumínio, com grade, para 1 lâmpada, base E27, potência máxima 40/60W (não inclui lâmpada)</t>
  </si>
  <si>
    <t>Interruptor simples (1 módulo) com 1 tomada de embutir 2P+T 10A, incluindo suporte e placa</t>
  </si>
  <si>
    <t>Soquete de porcelana base E27, fixo de teto, para lâmpadas</t>
  </si>
  <si>
    <t>Tomada média de embutir (1 módulo), 2P+T 10A, incluindo suporte e placa</t>
  </si>
  <si>
    <t>Ponto para Telefone</t>
  </si>
  <si>
    <t>Caixa de passagem para telefone 10x10x5cm (sobrepor)</t>
  </si>
  <si>
    <t>Curva 90 graus para eletroduto, PVC, roscável, DN 25mm (¾"), para circuitos terminais, instalada em parede</t>
  </si>
  <si>
    <t>Tomada para telefone de 4 polos, padrão Telebrás</t>
  </si>
  <si>
    <t>Fio telefônico FI 0,6mm, 2 condutores, uso interno</t>
  </si>
  <si>
    <t>Ponto para Antena</t>
  </si>
  <si>
    <t>Caixa retangular 4"x4" baixa (0,30m do piso), PVC, instalada em parede</t>
  </si>
  <si>
    <t>Eletroduto rígido roscável, PVC, DN 20mm (½"), para circuitos terminais, instalado em parede</t>
  </si>
  <si>
    <t>Espelho em PVC 4"x4"</t>
  </si>
  <si>
    <t>Aterramento</t>
  </si>
  <si>
    <t>Caixa inspeção em polietileno para aterramento e pára-raios diâmetro 300mm</t>
  </si>
  <si>
    <t>Cabo de cobre flexível isolado, 10,0mm², anti-chama 450/750V, para distribuição</t>
  </si>
  <si>
    <t>Conector parafuso fendido Split-Bolt - para cabo de 16mm²</t>
  </si>
  <si>
    <t>Eletroduto rígido roscável, PVC, DN 25mm (¾"), para circuitos terminais, instalado em parede</t>
  </si>
  <si>
    <t>Haste Copperweld, ⅝"x3,00m, com conector</t>
  </si>
  <si>
    <t>Hidráulica e Gás</t>
  </si>
  <si>
    <t>Tubulação de Água</t>
  </si>
  <si>
    <t>Joelho 90 graus, com bucha de latão, PVC, soldável, DN 25mmx¾", instalado em ramal ou sub-ramal de água</t>
  </si>
  <si>
    <t>Joelho 90 graus, PVC, soldável, DN 25mm, instalado em ramao ou sub-ramal de água</t>
  </si>
  <si>
    <t>Joelho 90 graus, PVC, soldável, DN 32mm, instalado em ramao ou sub-ramal de água</t>
  </si>
  <si>
    <t>Te, PVC, soldável DN 25mm, instalado em ramal ou sub-ramal de água</t>
  </si>
  <si>
    <t>Te, PVC, soldável DN 32mm, instalado em ramal ou sub-ramal de água</t>
  </si>
  <si>
    <t>Tubo PVC soldável, DN 25mm, instalado em ramal ou sub-ramal de água</t>
  </si>
  <si>
    <t>Tubo PVC soldável, DN 32mm, instalado em ramal ou sub-ramal de água</t>
  </si>
  <si>
    <t>Reservatório de PVC</t>
  </si>
  <si>
    <t>Torneira de bóia real, roscável, ¾", fornecida e instalada em reservação de água</t>
  </si>
  <si>
    <t>Sanitária e Pluvial</t>
  </si>
  <si>
    <t>Tubulação de Esgoto</t>
  </si>
  <si>
    <t>Bucha de redução de PVC, soldável, longa, 50x40mm, para esgoto predial</t>
  </si>
  <si>
    <t>Joelho 90 graus, PVC, série normal, esgoto predial, DN 40mm, junta soldável, fornecido e instalado em ramal de descarga ou ramal de esgoto sanitário</t>
  </si>
  <si>
    <t>Joelho 90 graus, PVC, série normal, esgoto predial, DN 50mm, junta elástica, fornecido e instalado em ramal de descarga ou ramal de esgoto sanitário</t>
  </si>
  <si>
    <t>Junção simples, PVC, série normal, esgoto predial, DN 100x50mm, junta elástica, fornecida e instalada em ramal de descarga ou ramal de esgoto sanitário</t>
  </si>
  <si>
    <t>Te, PVC, série normal, esgoto predial, DN 50x50mm, junta elástica, fornecido e instalado em ramal de descarga ou ramal de esgoto sanitário</t>
  </si>
  <si>
    <t>Terminal de ventilação, 50mm, série normal, esgoto predial</t>
  </si>
  <si>
    <t>Tubo PVC, série normal, esgoto predial, DN 50mm, fonecido e instalado em ramal de descarga ou ramal de esgoto sanitário</t>
  </si>
  <si>
    <t>Tubo PVC, série normal, esgoto predial, DN 40mm, fonecido e instalado em ramal de descarga ou ramal de esgoto sanitário</t>
  </si>
  <si>
    <t>Tubo PVC, série normal, esgoto predial, DN 100mm, fonecido e instalado em ramal de descarga ou ramal de esgoto sanitário</t>
  </si>
  <si>
    <t>Aparelhos</t>
  </si>
  <si>
    <t>Kit de acessórios para banheiro, sobrepor, PVC - cabide, papeleira e saboneteira, incluso fixação</t>
  </si>
  <si>
    <t>Chuveiro elétrico comum corpo plástico tipo ducha</t>
  </si>
  <si>
    <t>Vaso sanitário sifonado com caixa acoplada louça branca</t>
  </si>
  <si>
    <t>7.4.4</t>
  </si>
  <si>
    <t>7.4.5</t>
  </si>
  <si>
    <t>7.4.6</t>
  </si>
  <si>
    <t>Complementação da Obra</t>
  </si>
  <si>
    <t>Limpeza final de obra</t>
  </si>
  <si>
    <t>Placa numeração residencial em chapa galvanizada esmaltada 12x18cm</t>
  </si>
  <si>
    <t>Disjuntor monopolar tipo DIN, corrente nominal de 25A</t>
  </si>
  <si>
    <t>Interruptor simples (1 módulo), 10A/250V, incluindo suporte e placa</t>
  </si>
  <si>
    <t>Interruptor simples (3 módulos), 10A/250V, incluindo suporte e placa</t>
  </si>
  <si>
    <t>Abrigo para Gás</t>
  </si>
  <si>
    <t>Caixa de gordura simples em concreto pré-moldado DN 40mm, c/ tampa</t>
  </si>
  <si>
    <t>Caixa de inspeção em concreto pré-moldado DN 60cm c/ tampa h = 60cm</t>
  </si>
  <si>
    <t>4.1.4</t>
  </si>
  <si>
    <t>Interruptor simples (2 módulos), 10A/250V, incluindo suporte e placa</t>
  </si>
  <si>
    <t>1.3.2</t>
  </si>
  <si>
    <t>CONJUNTO HABITACIONAL SÃO JOÃO DO TRIUNFO</t>
  </si>
  <si>
    <t>SERVIÇOS INICIAIS</t>
  </si>
  <si>
    <t>1.2.5</t>
  </si>
  <si>
    <t>Tabeira de madeira de lei 1ª qualidade 2,5x30,0cm para beiral de telhado</t>
  </si>
  <si>
    <t>Alçapão, em PVC - 0,60x0,60m</t>
  </si>
  <si>
    <t>Lastro de concreto simples, 13,5MPa, aplicado em pisos ou radier, espessura de 5cm</t>
  </si>
  <si>
    <t>Revestimento cerâmico para piso com placas tipo grês de dimensões 35x35cm, para edificação habitacional unifamiliar (casa) e edificação pública padrão</t>
  </si>
  <si>
    <t>7.1.2.11</t>
  </si>
  <si>
    <t>Tomada média de embutir (2 módulos), 2P+T 10A, incluindo suporte e placa</t>
  </si>
  <si>
    <t>Luva para eletroduto PVC roscável, DN 25mm (¾"), para circuitos terminais, instalada em parede</t>
  </si>
  <si>
    <t>7.1.4.6</t>
  </si>
  <si>
    <t>Plug PVC roscável, ¾" para água fria predial</t>
  </si>
  <si>
    <t>Caixa d'água em polietileno, 500 litros, com acessórios</t>
  </si>
  <si>
    <t>7.2.3</t>
  </si>
  <si>
    <t>7.2.3.1</t>
  </si>
  <si>
    <t>Abrigo para gás (0,80x0,75x0,70m), conforme projeto</t>
  </si>
  <si>
    <t>7.2.3.2</t>
  </si>
  <si>
    <t>Tubo de cobre flexível, Ø ½", e = 0,79mm, para ar condicionado / instalações de gás, residenciais e comerciais</t>
  </si>
  <si>
    <t>Cap PVC soldável, DN 40mm, série normal, para esgoto predial</t>
  </si>
  <si>
    <t>Demarcação do lote - madeira de lei (10x10x50cm)</t>
  </si>
  <si>
    <t xml:space="preserve">Aplicação manual de pintura com tinta látex acrílica em parede, duas demãos </t>
  </si>
  <si>
    <t>5.5.2</t>
  </si>
  <si>
    <t>MBP 47 PD</t>
  </si>
  <si>
    <t>Eletroduto rígido roscável, PVC, DN 25mm (¾"), para circuitos terminais, instalado em paree</t>
  </si>
  <si>
    <t>Banco articulado para banho, em aço inox polido, 70x45cm</t>
  </si>
  <si>
    <t>Barra de apoio reta, em aço inox polido, 70cm, DN 3cm</t>
  </si>
  <si>
    <t>Barra de apoio reta, em aço inox polido, 80cm, DN 3cm</t>
  </si>
  <si>
    <t>Barra de apoio lavatório, em aço inox polido, 40x50cm, DN 3cm</t>
  </si>
  <si>
    <t>UNIDADE HABITACIONAL</t>
  </si>
  <si>
    <t>COBERTURA</t>
  </si>
  <si>
    <t>ESQUADRIAS</t>
  </si>
  <si>
    <t>2.6</t>
  </si>
  <si>
    <t>PINTURA E FORRO</t>
  </si>
  <si>
    <t>2.7</t>
  </si>
  <si>
    <t>2.8</t>
  </si>
  <si>
    <t>INSTALAÇÕES ELÉTRICAS</t>
  </si>
  <si>
    <t>2.9</t>
  </si>
  <si>
    <t>2.10</t>
  </si>
  <si>
    <t>CONTENÇÕES</t>
  </si>
  <si>
    <t>ENERGIA</t>
  </si>
  <si>
    <t>PAISAGISMO E SINALIZAÇÃO</t>
  </si>
  <si>
    <t>PEÇAS, LOUÇAS E METAIS</t>
  </si>
  <si>
    <t>Caixa retangular 4"x2", PVC, instalada em parede</t>
  </si>
  <si>
    <t>Fossa séptica, conforme projeto</t>
  </si>
  <si>
    <t>Filtro anaeróbico, conforme projeto</t>
  </si>
  <si>
    <t>8.4</t>
  </si>
  <si>
    <t>Ligação domiciliar/vistoria de água e esgoto (tarifa social - SANEPAR)</t>
  </si>
  <si>
    <t>8.5</t>
  </si>
  <si>
    <t>Disjuntor tetrapolar tipo DR, in63A, 30mA</t>
  </si>
  <si>
    <t>Taxa de averbação do imóvel</t>
  </si>
  <si>
    <r>
      <t xml:space="preserve">Porta interna - lisa - </t>
    </r>
    <r>
      <rPr>
        <b/>
        <sz val="10"/>
        <color rgb="FF0070C0"/>
        <rFont val="Calibri"/>
        <family val="2"/>
      </rPr>
      <t>82x210cm</t>
    </r>
    <r>
      <rPr>
        <sz val="10"/>
        <rFont val="Calibri"/>
        <family val="2"/>
      </rPr>
      <t xml:space="preserve"> - completa</t>
    </r>
  </si>
  <si>
    <r>
      <t xml:space="preserve">Porta almofadada - </t>
    </r>
    <r>
      <rPr>
        <b/>
        <sz val="10"/>
        <color rgb="FF0070C0"/>
        <rFont val="Calibri"/>
        <family val="2"/>
      </rPr>
      <t>82x210cm</t>
    </r>
    <r>
      <rPr>
        <sz val="10"/>
        <rFont val="Calibri"/>
        <family val="2"/>
      </rPr>
      <t xml:space="preserve"> - completa</t>
    </r>
  </si>
  <si>
    <t>Aplicação de fundo selador acrílico em paredes, uma demão</t>
  </si>
  <si>
    <t>Tomada baixa de embutir (1 módulo), 2P+T 10A, incluindo suporte e placa</t>
  </si>
  <si>
    <t>Tomada média de embutir (1 módulo), 2P+T 20A, incluindo suporte e placa</t>
  </si>
  <si>
    <t>Adaptador PVC soldável, com flange fixa para caixa d'água, DN 25mmx¾"</t>
  </si>
  <si>
    <t>Adaptador curto com bolsa e rosca para registro, PVC, soldável, DN 25mmx¾"</t>
  </si>
  <si>
    <t>Adaptador para caixa d'água, com registro, DN 32mm</t>
  </si>
  <si>
    <t>Adaptador PVC soldável, com flange fixa para caixa d'água, DN 32mmx1"</t>
  </si>
  <si>
    <t>Luva soldável e com rosca, PVC, DN 25mmx¾"</t>
  </si>
  <si>
    <t>Registro de gaveta bruto, latão, roscável, ¾", com acionamento por alavanca</t>
  </si>
  <si>
    <t>Registro de pressão bruto, latão, roscável, ¾", com acionamento por alavanca</t>
  </si>
  <si>
    <t>Joelho 90 graus, com bucha de latão, PVC, soldável, DN 25mmx½"</t>
  </si>
  <si>
    <t>Caixa sifonada PVC 100x100x50mm</t>
  </si>
  <si>
    <t>Curva curta 90 graus, PVC, série normal, esgoto predial, DN 100mm, junta elástica</t>
  </si>
  <si>
    <t>Joelho 45 graus, PVC, série normal, esgoto predial, DN 40mm, junta soldável</t>
  </si>
  <si>
    <t>Joelho 45 graus PVC série normal esgoto predial DN 50mm junta elástica</t>
  </si>
  <si>
    <t>Lavatório louça branca com coluna, 44x35,5cm, padrão popular, incluso sifão flexível em PVC, válvula e engate flexível 30cm em plástico e com torneira cromada acionamento por alavanca</t>
  </si>
  <si>
    <t>Bancada de mármore sintético 120x60cm, com cuba integrada, incluso sifão tipo flexível em PVC, válvula em plástico cromado tipo americana e torneira cromada longa, de parede, com acionamento por alavanca</t>
  </si>
  <si>
    <t>Tanque de lavar roupas em concreto pré-moldado, 1 boca, com apoio/pés de 60x65x80cm, incluso sifão flexível em PVC, válvula plástica e duas torneiras de metal cromado acionamento por alavanca, para tanque e máquina</t>
  </si>
  <si>
    <t>Barra de apoio reta, em aço inox polido, 40cm, DN 3cm</t>
  </si>
  <si>
    <t>ud</t>
  </si>
  <si>
    <t>3.8</t>
  </si>
  <si>
    <t>DRENAGEM</t>
  </si>
  <si>
    <t>4.3</t>
  </si>
  <si>
    <t>4.4</t>
  </si>
  <si>
    <t>Guias e sarjetas</t>
  </si>
  <si>
    <t>TOTAL</t>
  </si>
  <si>
    <t>louças</t>
  </si>
  <si>
    <t>ANEXO I - TABELA DE MEDIÇÃO E FATURAMENTO</t>
  </si>
  <si>
    <t>TABELA DE MEDIÇÃO E FATURAMENTO</t>
  </si>
  <si>
    <t>VALOR PROPOSTO:</t>
  </si>
  <si>
    <t>DESCRIÇÃO DA ETAPA</t>
  </si>
  <si>
    <t>SERVIÇOS RELACIONADOS</t>
  </si>
  <si>
    <t>Medição da Etapa em relação ao Preço Global Proposto</t>
  </si>
  <si>
    <t>Medição das fases em relação a Etapa</t>
  </si>
  <si>
    <t>VALORES MÁXIMOS A SEREM PAGOS POR MACRO INTERMEDIÁRIO</t>
  </si>
  <si>
    <t>VALORES MÁXIMOS A SEREM PAGOS ETAPA</t>
  </si>
  <si>
    <t>Engenheiros, mestre, apontador e vigias</t>
  </si>
  <si>
    <t>Barracão, escritório, almoxarifado, instalação sanitárias provisórias, placas de obra, ligações provisórias e serviços afins.</t>
  </si>
  <si>
    <t>SERVIÇOS TÉCNICOS</t>
  </si>
  <si>
    <t>Projetos básicos da unidade habitacional e infraestrutura</t>
  </si>
  <si>
    <t>Projetos executivos da unidade habitacional e infraestrutura</t>
  </si>
  <si>
    <t>Demarcação do lote, locação da obra, placa de identificação do lote, estacas, alvenaria de embasamento, vigas de badrames, blocos, sapatas, aterro apiloado, impermeabilização de fundações e serviços afins.</t>
  </si>
  <si>
    <t>SUPRAESTRUTURA</t>
  </si>
  <si>
    <t>Alvenaria de elevação, vigas de cobertura, pilares, lajes, cintas de amarração, vergas e contravergas e serviços afins.</t>
  </si>
  <si>
    <t>Alvenaria de oitão, estrutura, telhamento, cumeeiras e serviços afins</t>
  </si>
  <si>
    <t>REVESTIMENTOS E TUBULAÇÕES ELETRICAS / HIDRÁULICAS</t>
  </si>
  <si>
    <t>Chapisco, emboço, reboco, impermeabilização de paredes, tubulação elétrica, tubulçação hidráulica, caixa d'água e serviços afins.</t>
  </si>
  <si>
    <t>Portas, janelas, portinholas, grades, portões e serviços afins</t>
  </si>
  <si>
    <t>Forros internos e externos, beirais, 
Pinturas internas e externas e serviços afins.</t>
  </si>
  <si>
    <t xml:space="preserve">PISOS, AZULEJOS E INSTALAÇÕES DE ESGOTO EXTERNAS </t>
  </si>
  <si>
    <t>Lastros de brita, lastro de concreto, contrapiso, revestimentos cerâmicos (piso e azulejo), calçadas, caixa de gordura, caixa de inspeção, fossa séptica, sumidouro e serviços afins.</t>
  </si>
  <si>
    <t>Fiação, disjuntores, luminárias, interruptores, tomadas e serviços afins</t>
  </si>
  <si>
    <t>Chuveiro, vaso sanitário, bancadas, armários, pias, lavatórios, tanques, acessórios, kits de acessibilidade e serviços afins.</t>
  </si>
  <si>
    <t>Calafate e limpeza, ligações definitivas, documentação de conclusão de obra, testes gerais nas instalações, despesas eventuais e serviços afins</t>
  </si>
  <si>
    <t>Limpeza e regularização terreno (quadra/lote), abertura de ruas e serviços afins.</t>
  </si>
  <si>
    <t>Muros de arrimo, muro de divisa, muretas, gradis, plantio de grama e sistema de drenagem dos taludes e serviços afins</t>
  </si>
  <si>
    <t>DRENAGEM/ÁGUAS PLUVIAIS / ÁGUA POTÁVEL / ESGOTO SANITÁRIO</t>
  </si>
  <si>
    <t>Fornecimento de assentamento de tubos, implantação de rede, poços de visita, caixa de ligação, dissipador com bueiro, água potável (captação, reservação (ex.: castelo d'água), distribuição - rede), esgoto sanitário ( redes e tratamento de efluentes) e serviços afins</t>
  </si>
  <si>
    <t>Subleito, sub-base, base, camada de rolamento, guias, meio-fio/sarjeta, bocas de lobo e serviços afins.</t>
  </si>
  <si>
    <t>CALÇADA</t>
  </si>
  <si>
    <t>Calçada em passeio, calçada de acesso, calçamento em paver, rampas de acessibilidade e serviços afins.</t>
  </si>
  <si>
    <t>Rede de energia/iluminação internas e externas ao condomínio (posteação, fiação, transformadores, conjunto de luminárias e serviços afins); Rede de telefonia, interfone e tv a cabo; Sistema de Proteção Contra Descargas Atmosféricas - SPDA.</t>
  </si>
  <si>
    <t>Sinalização horizontal e vertical, placas de sinalização, grama ao redor da casa e em passeio, plantio de árvores e arbustos e serviços afins.</t>
  </si>
  <si>
    <t>CFTV E INCÊNDIO</t>
  </si>
  <si>
    <t>Instalação do circuito fechado de TV (CFTV) e Sistema de Proteção e Combate a Incêndio</t>
  </si>
  <si>
    <t>EDIFICAÇÕES E ELEMENTOS DIVERSOS</t>
  </si>
  <si>
    <t xml:space="preserve">CENTRO DE CONVIVÊNCIA </t>
  </si>
  <si>
    <t>Edificação com todos os elementos necessários para utilização (infraestrutura, supraestrutura, paredes e painéis, cobertura e proteções, revestimentos, pinturas, forros, pavimentações, instalações elétricas e hidrosanitárias, equipamentos, elementos diversos previstos e serviços afins.</t>
  </si>
  <si>
    <t>GUARITA</t>
  </si>
  <si>
    <t>QUIOSQUE</t>
  </si>
  <si>
    <t>ACADEMIA AO AR LIVRE</t>
  </si>
  <si>
    <t>4.5</t>
  </si>
  <si>
    <t>HORTA ELEVADA</t>
  </si>
  <si>
    <t>4.6</t>
  </si>
  <si>
    <t>MOBILIÁRIO</t>
  </si>
  <si>
    <t>Mesa de jogos, banco de praça, depósito de lixo, lixeiras para coleta seletiva, floreiras</t>
  </si>
  <si>
    <t>TOTAL GERAL:</t>
  </si>
  <si>
    <t xml:space="preserve">* A ADMINISTRAÇÃO LOCAL DA OBRA SERÁ MEDIDA DE ACORDO COM % EXECUTADO DA OBRA </t>
  </si>
  <si>
    <t>TIPOLOGIA HABITACIONAL - 40_TI</t>
  </si>
  <si>
    <t>TERCEIRA IDADE RESIDENCIAL COHAPAR IRATI II 22ª ETAPA - EWALDO CORDEIRO</t>
  </si>
  <si>
    <t>MÃO DE OBRA</t>
  </si>
  <si>
    <t>UNITARIO S/ BDI</t>
  </si>
  <si>
    <t>UNITARIO C/ BDI</t>
  </si>
  <si>
    <t>UNIT. MAT.</t>
  </si>
  <si>
    <t>UNIT. MO</t>
  </si>
  <si>
    <t>MAT. S/ BDI</t>
  </si>
  <si>
    <t>MO S/ BDI</t>
  </si>
  <si>
    <t>TOTAL S/ BDI</t>
  </si>
  <si>
    <t>TOTAL C/ BDI</t>
  </si>
  <si>
    <t>Limpeza roça densa</t>
  </si>
  <si>
    <t>Limpeza raspagem mecanizada</t>
  </si>
  <si>
    <t>Abertura de ruas</t>
  </si>
  <si>
    <t>Base em brita graduada (espessura de 10 cm)</t>
  </si>
  <si>
    <t>Camada de areia espessura 5 cm</t>
  </si>
  <si>
    <t xml:space="preserve">Regularização e compactação do sub-leito espessura de 20 cm </t>
  </si>
  <si>
    <t>PAVIMENTAÇÃO (RUAS E ESTACIONAMENTO)</t>
  </si>
  <si>
    <t>RAMPAS DE ACESSO ÀS HABITAÇÕES/SOCIAL</t>
  </si>
  <si>
    <t>CFTV E SPCI</t>
  </si>
  <si>
    <t>Sinalização horizontal em tinta retroflexiva amarela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</si>
  <si>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</si>
  <si>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</si>
  <si>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</si>
  <si>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</si>
  <si>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</si>
  <si>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</si>
  <si>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</si>
  <si>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</si>
  <si>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</si>
  <si>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DRENAGEM/REDE DE AGUA/REDE DE ESGOTO</t>
  </si>
  <si>
    <t>REDE DE ÁGUA</t>
  </si>
  <si>
    <t>3.1.5</t>
  </si>
  <si>
    <t>3.1.6</t>
  </si>
  <si>
    <t>REDE DE ESGOTO</t>
  </si>
  <si>
    <t>Rede de distribuição de água potavel, com tubos em PVC 50 mm e conexões, considerando escavação de vala, assentamento e reaterro</t>
  </si>
  <si>
    <t>Hidrômetro DN 25 (¾ ), 5,0 M³/H forneciemnto e instalação</t>
  </si>
  <si>
    <t>Poço de visita esgoto sanitario anel base/banqueta em concreto FCK=10 Mpa</t>
  </si>
  <si>
    <t>Plantio de Grama no empreendimento</t>
  </si>
  <si>
    <t>IDENTIFICAÇÃO DA EMPRESA: TERCASA Construtora - EIRELI</t>
  </si>
  <si>
    <t xml:space="preserve">IDENTIFICAÇÃO DO OBJETO: 6886/CONT/2019 - MDF 04/2018 - FIGUEIRA-PR </t>
  </si>
  <si>
    <t>DATA-BASE DO ORÇAMENTO E DATA DA ELABORAÇÃO DA PROPOSTA: 16/11/2019</t>
  </si>
  <si>
    <t>ÍNDICE DE BDI: 26,80%</t>
  </si>
  <si>
    <t>RESPONSÁVEL TÉCNICO / CAU: PAULO BACILLA - CAU 15164-5</t>
  </si>
  <si>
    <t>DATA-BASE DO ORÇAMENTO E DATA DA ELABORAÇÃO DA PROPOSTA: 02/05/2020</t>
  </si>
  <si>
    <t>PLANILHA DE PREÇOS</t>
  </si>
  <si>
    <t>COMPOSIÇÃO DO BDI - HABITAÇÃO</t>
  </si>
  <si>
    <t xml:space="preserve">TAXA REFERENCIAL (%) </t>
  </si>
  <si>
    <t>Parâmetros do Acórdão TCU 2.622/2013 - Plenário</t>
  </si>
  <si>
    <t>1 Quartil</t>
  </si>
  <si>
    <t xml:space="preserve">Médio </t>
  </si>
  <si>
    <t>3 Quartil</t>
  </si>
  <si>
    <t>AC - ADMINISTRAÇÃO CENTRAL</t>
  </si>
  <si>
    <t>AC</t>
  </si>
  <si>
    <t>SG - SEGUROS + GARANTIA</t>
  </si>
  <si>
    <t>SG</t>
  </si>
  <si>
    <t>R - RISCOS</t>
  </si>
  <si>
    <t>R</t>
  </si>
  <si>
    <t>DF - DESPESAS FINANCEIRAS</t>
  </si>
  <si>
    <t>DF</t>
  </si>
  <si>
    <t>L - LUCRO BRUTO</t>
  </si>
  <si>
    <t>L</t>
  </si>
  <si>
    <t>I - IMPOSTOS</t>
  </si>
  <si>
    <r>
      <t>PIS</t>
    </r>
    <r>
      <rPr>
        <sz val="8"/>
        <rFont val="Arial"/>
        <family val="2"/>
      </rPr>
      <t xml:space="preserve"> </t>
    </r>
    <r>
      <rPr>
        <sz val="6"/>
        <rFont val="Arial"/>
        <family val="2"/>
      </rPr>
      <t>(Programas de Integração Social)</t>
    </r>
  </si>
  <si>
    <t>Sem CPRB</t>
  </si>
  <si>
    <r>
      <t xml:space="preserve">COFINS </t>
    </r>
    <r>
      <rPr>
        <sz val="6"/>
        <rFont val="Arial"/>
        <family val="2"/>
      </rPr>
      <t>(Contribuição para o Financiamento da Seguridade Social)</t>
    </r>
  </si>
  <si>
    <t>Com CPRB</t>
  </si>
  <si>
    <r>
      <t xml:space="preserve">ISSQN </t>
    </r>
    <r>
      <rPr>
        <sz val="6"/>
        <rFont val="Arial"/>
        <family val="2"/>
      </rPr>
      <t>(Imposto sobre Serviço de Qualquer Natureza)</t>
    </r>
  </si>
  <si>
    <t>6.4</t>
  </si>
  <si>
    <r>
      <t xml:space="preserve">CPRB </t>
    </r>
    <r>
      <rPr>
        <sz val="6"/>
        <rFont val="Arial"/>
        <family val="2"/>
      </rPr>
      <t>(Contribuição Previdenciária sobre a Receita Bruta)</t>
    </r>
  </si>
  <si>
    <t>Equação Acordão TCU 2.622/2013 - Plenário</t>
  </si>
  <si>
    <t>ÍNDICE DE BDI PARA HABITAÇÃO (%):</t>
  </si>
  <si>
    <t>Obs.: A CPRB deve ser incluida na composição do BDI quando a empresa optar pela desoneração na folha de pagamento</t>
  </si>
  <si>
    <t>ISSQN</t>
  </si>
  <si>
    <t>Alíquota segundo legislação municipal</t>
  </si>
  <si>
    <t>Estimativa de percentual da base de cálculo:</t>
  </si>
  <si>
    <t>AC: taxa de administração central;</t>
  </si>
  <si>
    <t>Alíquota do ISS considerada como referência:</t>
  </si>
  <si>
    <t>SG: taxa de seguros e garantias;</t>
  </si>
  <si>
    <r>
      <t>Não se incluem na base de cálculo do ISSQN o valor dos materias. Para efeitos de cálculo de BDI foi considerado o percentual de 38</t>
    </r>
    <r>
      <rPr>
        <sz val="9"/>
        <color indexed="10"/>
        <rFont val="Arial"/>
        <family val="2"/>
      </rPr>
      <t xml:space="preserve"> %</t>
    </r>
    <r>
      <rPr>
        <sz val="9"/>
        <rFont val="Arial"/>
        <family val="2"/>
      </rPr>
      <t xml:space="preserve"> para materiais e 62</t>
    </r>
    <r>
      <rPr>
        <sz val="9"/>
        <color indexed="10"/>
        <rFont val="Arial"/>
        <family val="2"/>
      </rPr>
      <t xml:space="preserve"> %</t>
    </r>
    <r>
      <rPr>
        <sz val="9"/>
        <rFont val="Arial"/>
        <family val="2"/>
      </rPr>
      <t xml:space="preserve"> para mão de obra. A alíquota estabelecida pela legislação tributária municipal de</t>
    </r>
    <r>
      <rPr>
        <sz val="9"/>
        <color indexed="10"/>
        <rFont val="Arial"/>
        <family val="2"/>
      </rPr>
      <t xml:space="preserve"> __INSSQN_</t>
    </r>
    <r>
      <rPr>
        <sz val="9"/>
        <rFont val="Arial"/>
        <family val="2"/>
      </rPr>
      <t xml:space="preserve"> é de</t>
    </r>
    <r>
      <rPr>
        <sz val="9"/>
        <color indexed="10"/>
        <rFont val="Arial"/>
        <family val="2"/>
      </rPr>
      <t xml:space="preserve"> 1,4 %</t>
    </r>
    <r>
      <rPr>
        <sz val="9"/>
        <rFont val="Arial"/>
        <family val="2"/>
      </rPr>
      <t>, portanto a taxa do item 6.3 da tabela de composição de BDI  usada nesse orçamento foi de</t>
    </r>
    <r>
      <rPr>
        <sz val="9"/>
        <color indexed="10"/>
        <rFont val="Arial"/>
        <family val="2"/>
      </rPr>
      <t xml:space="preserve"> 3,0 %.</t>
    </r>
  </si>
  <si>
    <t>R: taxa de riscos;</t>
  </si>
  <si>
    <t>DF: taxa de despesas financeiras;</t>
  </si>
  <si>
    <t>L: taxa de lucro/remuneração;</t>
  </si>
  <si>
    <t>I: taxa de incidência de impostos (PIS, COFINS, ISS, CPRB).</t>
  </si>
  <si>
    <t>CPRB</t>
  </si>
  <si>
    <r>
      <t xml:space="preserve">Declaro para os devidos fins que o regime de Contribuição Previdenciária sobre a Receita Bruta adotado para elaboração do orçamento foi </t>
    </r>
    <r>
      <rPr>
        <sz val="9"/>
        <color indexed="10"/>
        <rFont val="Arial"/>
        <family val="2"/>
      </rPr>
      <t>______ COM Desoneração</t>
    </r>
    <r>
      <rPr>
        <sz val="9"/>
        <rFont val="Arial"/>
        <family val="2"/>
      </rPr>
      <t>, e que esta é a alternativa mais adequada para a Administração Pública.</t>
    </r>
  </si>
  <si>
    <t>COMPOSIÇÃO DO BDI - INFRAESTRUTURA</t>
  </si>
  <si>
    <t>ÍNDICE DE BDI PARA INFRAESTRUTURA (%):</t>
  </si>
  <si>
    <r>
      <t xml:space="preserve">Não se incluem na base de cálculo do ISSQN o valor dos materias. Para efeitos de cálculo de BDI foi considerado o percentual de </t>
    </r>
    <r>
      <rPr>
        <sz val="9"/>
        <color indexed="10"/>
        <rFont val="Arial"/>
        <family val="2"/>
      </rPr>
      <t>__ %</t>
    </r>
    <r>
      <rPr>
        <sz val="9"/>
        <rFont val="Arial"/>
        <family val="2"/>
      </rPr>
      <t xml:space="preserve"> para materiais e </t>
    </r>
    <r>
      <rPr>
        <sz val="9"/>
        <color indexed="10"/>
        <rFont val="Arial"/>
        <family val="2"/>
      </rPr>
      <t>__ %</t>
    </r>
    <r>
      <rPr>
        <sz val="9"/>
        <rFont val="Arial"/>
        <family val="2"/>
      </rPr>
      <t xml:space="preserve"> para mão de obra. A alíquota estabelecida pela legislação tributária municipal de</t>
    </r>
    <r>
      <rPr>
        <sz val="9"/>
        <color indexed="10"/>
        <rFont val="Arial"/>
        <family val="2"/>
      </rPr>
      <t xml:space="preserve"> ____________</t>
    </r>
    <r>
      <rPr>
        <sz val="9"/>
        <rFont val="Arial"/>
        <family val="2"/>
      </rPr>
      <t xml:space="preserve"> é de</t>
    </r>
    <r>
      <rPr>
        <sz val="9"/>
        <color indexed="10"/>
        <rFont val="Arial"/>
        <family val="2"/>
      </rPr>
      <t xml:space="preserve"> __ %</t>
    </r>
    <r>
      <rPr>
        <sz val="9"/>
        <rFont val="Arial"/>
        <family val="2"/>
      </rPr>
      <t>, portanto a taxa do item 6.3 da tabela de composição de BDI  usada nesse orçamento foi de</t>
    </r>
    <r>
      <rPr>
        <sz val="9"/>
        <color indexed="10"/>
        <rFont val="Arial"/>
        <family val="2"/>
      </rPr>
      <t xml:space="preserve"> __ %.</t>
    </r>
  </si>
  <si>
    <r>
      <t xml:space="preserve">Declaro para os devidos fins que o regime de Contribuição Previdenciária sobre a Receita Bruta adotado para elaboração do orçamento foi </t>
    </r>
    <r>
      <rPr>
        <sz val="9"/>
        <color indexed="10"/>
        <rFont val="Arial"/>
        <family val="2"/>
      </rPr>
      <t>______ (COM/SEM) Desoneração</t>
    </r>
    <r>
      <rPr>
        <sz val="9"/>
        <rFont val="Arial"/>
        <family val="2"/>
      </rPr>
      <t>, e que esta é a alternativa mais adequada para a Administração Pública.</t>
    </r>
  </si>
  <si>
    <t>COMPOSIÇÃO DOS ENCARGOS SOCIAIS</t>
  </si>
  <si>
    <t>ENCARGOS SOCIAIS SOBRE CUSTOS DA MÃO DE OBRA HORISTA E MENSALISTA</t>
  </si>
  <si>
    <t xml:space="preserve">ENCARGOS SOCIAIS SOBRE A MÃO DE OBRA </t>
  </si>
  <si>
    <t>CÓDIGO</t>
  </si>
  <si>
    <t>DESCRIÇÃO</t>
  </si>
  <si>
    <t>HORISTA %</t>
  </si>
  <si>
    <t>MENSALISTA %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</si>
  <si>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</si>
  <si>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</si>
  <si>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</si>
  <si>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</si>
  <si>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</si>
  <si>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</si>
  <si>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</si>
  <si>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</si>
  <si>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</si>
  <si>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</si>
  <si>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</si>
  <si>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</si>
  <si>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</si>
  <si>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</si>
  <si>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</si>
  <si>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</si>
  <si>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</si>
  <si>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</si>
  <si>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</si>
  <si>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</si>
  <si>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</si>
  <si>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</si>
  <si>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</si>
  <si>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</si>
  <si>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Não incide</t>
  </si>
  <si>
    <t>B2</t>
  </si>
  <si>
    <t>Feriados</t>
  </si>
  <si>
    <t>B3</t>
  </si>
  <si>
    <t>Auxílio-Enfermidade</t>
  </si>
  <si>
    <t>B4</t>
  </si>
  <si>
    <t>13° Salário</t>
  </si>
  <si>
    <t>B5</t>
  </si>
  <si>
    <t>Licença Paternidade</t>
  </si>
  <si>
    <t>B6</t>
  </si>
  <si>
    <t>Faltas Justificadas</t>
  </si>
  <si>
    <t>B7</t>
  </si>
  <si>
    <t>Dias de Chuva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</si>
  <si>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</si>
  <si>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</si>
  <si>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</si>
  <si>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</si>
  <si>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</si>
  <si>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</si>
  <si>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</si>
  <si>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Total dos Encargos Sociais que recebem incidência de A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</si>
  <si>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</si>
  <si>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</si>
  <si>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</si>
  <si>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</si>
  <si>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</si>
  <si>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</si>
  <si>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</si>
  <si>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</si>
  <si>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</si>
  <si>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</si>
  <si>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</si>
  <si>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</si>
  <si>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 de A</t>
  </si>
  <si>
    <t>GRUPO D</t>
  </si>
  <si>
    <t>D1</t>
  </si>
  <si>
    <t>Reincidência do Grupo A sobre o Grupo B</t>
  </si>
  <si>
    <t>D2</t>
  </si>
  <si>
    <t>Reincidência do Grupo A sobre Aviso Prévio Trabalhado e</t>
  </si>
  <si>
    <t>Reincidência do FGTS sobre Aviso Prévio Indenizado</t>
  </si>
  <si>
    <t>D</t>
  </si>
  <si>
    <t>Total de Reincidências de um grupo sobre o outro</t>
  </si>
  <si>
    <t>TOTAL (A+B+C+D)</t>
  </si>
  <si>
    <t>Não é obrigatória a apresentação da composição de encargos sociais na entrega do projeto básico, entretanto fica facultado a COHAPAR efetuar diligências solicitando esse demostrativo a fim de elucidar eventuais dúvidas sobre a proposta a qualquer tempo, até findar o contrato.</t>
  </si>
  <si>
    <t>IDENTIFICAÇÃO</t>
  </si>
  <si>
    <t>COEF.</t>
  </si>
  <si>
    <t>R$ UNIT.</t>
  </si>
  <si>
    <t>CUSTO TOTAL (R$)</t>
  </si>
  <si>
    <t>MAT./EQUIP</t>
  </si>
  <si>
    <t>01</t>
  </si>
  <si>
    <t>UND</t>
  </si>
  <si>
    <t>UN</t>
  </si>
  <si>
    <t>M</t>
  </si>
  <si>
    <t>H</t>
  </si>
  <si>
    <t>SERVENTE COM ENCARGOS COMPLEMENTARES</t>
  </si>
  <si>
    <t>02</t>
  </si>
  <si>
    <t>03</t>
  </si>
  <si>
    <t>04</t>
  </si>
  <si>
    <t>Obs. 01 - A identificação da composição de preço unitário deverá fazer correspondência com a planilha de preços sintética;</t>
  </si>
  <si>
    <t>Obs. 02 - Não é obrigatória a apresentação das CPUs na entrega do projeto básico, entretanto fica facultado a COHAPAR efetuar diligências solicitando as composições de preço unitário a fim de elucidar eventuais dúvidas sobre a proposta a qualquer tempo, até findar o contrato.</t>
  </si>
  <si>
    <t>PREÇO GLOBAL (R$)</t>
  </si>
  <si>
    <t>INCIDENCIA GLOBAL</t>
  </si>
  <si>
    <t>INCIDENCIA ETAPA</t>
  </si>
  <si>
    <t>Pavimentação em concreto simples espessura de 6 cm</t>
  </si>
  <si>
    <t>1.4.4</t>
  </si>
  <si>
    <t>EXECUÇÃO DE PROJETOS BÁSICOS DAS UNIDADES HABITACIONAIS E INFRAESTRUTURA</t>
  </si>
  <si>
    <t>EXECUÇÃO DE PROJETOS EXECUTIVOS  DAS UNIDADES HABITACIONAIS E INFRAESTRUTURA</t>
  </si>
  <si>
    <t>PLACA DE OBRA ESTRUTURADA EM MADEIRA DE PINUS</t>
  </si>
  <si>
    <t>ALUGUEL DE CONTEINERS PARA ESCRITORIO, ALMOXARIFADO, DEPOSITO E AREA DE CONVIVENVIA NO CANTEIRO</t>
  </si>
  <si>
    <t>Escavação de valas, até 2,00 m</t>
  </si>
  <si>
    <t>Estaca broca - Ø 25 cm - em concreto - traço 1:3:5</t>
  </si>
  <si>
    <t>1.5</t>
  </si>
  <si>
    <t>Laje pré-fabricada, para forro , com concretagem</t>
  </si>
  <si>
    <t>Alvenaria de tijolos furados - (6 furos)</t>
  </si>
  <si>
    <t>9.1</t>
  </si>
  <si>
    <t>9.2</t>
  </si>
  <si>
    <t>9.3</t>
  </si>
  <si>
    <t>9.4</t>
  </si>
  <si>
    <t>10.1</t>
  </si>
  <si>
    <t>10.2</t>
  </si>
  <si>
    <t>4.7</t>
  </si>
  <si>
    <t>4.8</t>
  </si>
  <si>
    <t>4.9</t>
  </si>
  <si>
    <t>4.10</t>
  </si>
  <si>
    <t>und</t>
  </si>
  <si>
    <t>6.5</t>
  </si>
  <si>
    <t>6.6</t>
  </si>
  <si>
    <t>6.7</t>
  </si>
  <si>
    <t>Instalação de Caixas Distribuição e Passagem</t>
  </si>
  <si>
    <t>CENTRO DE CONVIVÊNCIA</t>
  </si>
  <si>
    <t>LOCAÇÃO DE OBRA INCLUINDO LOCAÇÃO TOPOGRAFICA E GABARITO</t>
  </si>
  <si>
    <t xml:space="preserve">FUNDAÇÕES E INFRA ESTRUTURA DA EDIFICAÇÃO </t>
  </si>
  <si>
    <t>ESTRUTURA DE CONCRETO</t>
  </si>
  <si>
    <t>VEDAÇÕES VERTICAIS</t>
  </si>
  <si>
    <t>1.4.1</t>
  </si>
  <si>
    <t>1.4.2</t>
  </si>
  <si>
    <t>1.4.3</t>
  </si>
  <si>
    <t>COBERTURAS</t>
  </si>
  <si>
    <t>1.5.1</t>
  </si>
  <si>
    <t>1.5.3</t>
  </si>
  <si>
    <t>1.5.4</t>
  </si>
  <si>
    <t>1.5.5</t>
  </si>
  <si>
    <t>LUMINÁRIAS E LAMPADAS - INSTALAÇÕES ELÉTRICAS</t>
  </si>
  <si>
    <t>1.5.6</t>
  </si>
  <si>
    <t>1.5.8</t>
  </si>
  <si>
    <t>BARRILETE E CAIXA D'ÁGUA</t>
  </si>
  <si>
    <t>1.5.9</t>
  </si>
  <si>
    <t>1.5.10</t>
  </si>
  <si>
    <t>INSTALAÇÕES ELÉTRICA E HIDRO SANITÁRIAS</t>
  </si>
  <si>
    <t>1.6.1</t>
  </si>
  <si>
    <t>1.6.2</t>
  </si>
  <si>
    <t>1.6.3</t>
  </si>
  <si>
    <t>1.6.4</t>
  </si>
  <si>
    <t>1.6.5</t>
  </si>
  <si>
    <t>1.6</t>
  </si>
  <si>
    <t>REVESTIMENTOS PRIMÁRIOS</t>
  </si>
  <si>
    <t>1.7.1</t>
  </si>
  <si>
    <t>1.7.2</t>
  </si>
  <si>
    <t>1.7</t>
  </si>
  <si>
    <t>PEITORIS E SOLEIRAS</t>
  </si>
  <si>
    <t>1.8.1</t>
  </si>
  <si>
    <t>1.8.2</t>
  </si>
  <si>
    <t>1.8.3</t>
  </si>
  <si>
    <t>1.8.4</t>
  </si>
  <si>
    <t>1.8</t>
  </si>
  <si>
    <t>REVESTIMENTO FINAL</t>
  </si>
  <si>
    <t>1.9.1</t>
  </si>
  <si>
    <t xml:space="preserve">FORNECIMENTO E ASSENTAMENTO DE PORTAS DE MADEIRA E VIDRO </t>
  </si>
  <si>
    <t>1.9.2</t>
  </si>
  <si>
    <t>FORNECIMENTO E ASSENTAMENTO DE ESQUADRIAS DE ALUMÍNIO</t>
  </si>
  <si>
    <t>1.9</t>
  </si>
  <si>
    <t>1.10.1</t>
  </si>
  <si>
    <t>1.10.2</t>
  </si>
  <si>
    <t>1.10.3</t>
  </si>
  <si>
    <t>1.10.4</t>
  </si>
  <si>
    <t>1.10.5</t>
  </si>
  <si>
    <t>1.10</t>
  </si>
  <si>
    <t>2.1.1</t>
  </si>
  <si>
    <t>2.1.2</t>
  </si>
  <si>
    <t>2.1.3</t>
  </si>
  <si>
    <t>PINTURAS</t>
  </si>
  <si>
    <t>FUNDAÇÕES E INFRA ESTRUTURA DA EDIFICAÇÃO</t>
  </si>
  <si>
    <t>2.2.1</t>
  </si>
  <si>
    <t>2.2.2</t>
  </si>
  <si>
    <t>2.2.3</t>
  </si>
  <si>
    <t>2.3.1</t>
  </si>
  <si>
    <t>2.4.1</t>
  </si>
  <si>
    <t>2.4.2</t>
  </si>
  <si>
    <t>2.5.1</t>
  </si>
  <si>
    <t>2.5.2</t>
  </si>
  <si>
    <t>2.5.3</t>
  </si>
  <si>
    <t>2.5.4</t>
  </si>
  <si>
    <t>2.5.5</t>
  </si>
  <si>
    <t>2.5.6</t>
  </si>
  <si>
    <t>2.6.1</t>
  </si>
  <si>
    <t>2.6.2</t>
  </si>
  <si>
    <t>2.6.3</t>
  </si>
  <si>
    <t>2.7.1</t>
  </si>
  <si>
    <t>2.7.2</t>
  </si>
  <si>
    <t>2.8.1</t>
  </si>
  <si>
    <t>2.8.2</t>
  </si>
  <si>
    <t>2.8.3</t>
  </si>
  <si>
    <t>2.8.4</t>
  </si>
  <si>
    <t>2.9.1</t>
  </si>
  <si>
    <t>FORNECIMENTO E ASSENTAMENTO DE PORTAS DE MADEIRA E VIDRO</t>
  </si>
  <si>
    <t>2.9.2</t>
  </si>
  <si>
    <t>2.10.1</t>
  </si>
  <si>
    <t>2.10.2</t>
  </si>
  <si>
    <t>2.10.3</t>
  </si>
  <si>
    <t>2.10.4</t>
  </si>
  <si>
    <t>2.10.5</t>
  </si>
  <si>
    <t>3</t>
  </si>
  <si>
    <t>4</t>
  </si>
  <si>
    <t>DETALHES E COMPLEMENTOS</t>
  </si>
  <si>
    <t>ACADEMIA A CEU ABERTO</t>
  </si>
  <si>
    <t>HORTA COMPOSTA</t>
  </si>
  <si>
    <t>MOBILIÁRIA</t>
  </si>
  <si>
    <t>4.3.1</t>
  </si>
  <si>
    <t xml:space="preserve">TUBULAÇÕES DE ESGOTO </t>
  </si>
  <si>
    <t>INCIDENCIA OBRA</t>
  </si>
  <si>
    <t>CRONOGRAMA</t>
  </si>
  <si>
    <t>TERCASA CONSTRUTORA- EIRELI</t>
  </si>
  <si>
    <t>Paulo Bacilla</t>
  </si>
  <si>
    <t>CAU 15164-5</t>
  </si>
  <si>
    <t>SERVIÇOS NÃO INCIDENTES</t>
  </si>
  <si>
    <t xml:space="preserve">POÇO DE VISITA 40 </t>
  </si>
  <si>
    <t>DISSIPADOR DE ENERGIA</t>
  </si>
  <si>
    <t xml:space="preserve">TUBULAÇÃO 40 </t>
  </si>
  <si>
    <t>ASSENTAMENTO DOS DISPOSITIVOS</t>
  </si>
  <si>
    <t>REDE DE AGUA POTAVEL</t>
  </si>
  <si>
    <t>INSTALAÇÃO DE REDE DE AGUA POTAVEL (CARTA DE VIABILIDADE SANEPAR)</t>
  </si>
  <si>
    <t>INSTALAÇÃO DE REDE DE ESGOTO (CARTA DE VIABILIDADE SANEPAR)</t>
  </si>
  <si>
    <t>M³</t>
  </si>
  <si>
    <t>EV</t>
  </si>
  <si>
    <t>ADMINISTRAÇÃO LOCAL DA OBRA E RESUMO DE EVENTOS</t>
  </si>
  <si>
    <t>PLANILHA ORÇAMENTARIA DE SERVIÇOS INICIAIS</t>
  </si>
  <si>
    <t>PLANILHA ORÇAMENTARIA DE EDIFICAÇÕES</t>
  </si>
  <si>
    <t>PLANILHA ORÇAMENTARIA DE INFRAESTRUTURA</t>
  </si>
  <si>
    <t>PLANILHA ORÇAMENTARIA DE CENTRO DE CONVIVENCIA, DEMAIS EDIFICAÇÕES E EQUIPAMENTOS URBANOS</t>
  </si>
  <si>
    <t xml:space="preserve">IDENTIFICAÇÃO DO OBJETO:  MDF 15/2018 - IRATI-PR </t>
  </si>
  <si>
    <t>ÍNDICE DE BDI: 15,85%</t>
  </si>
  <si>
    <t xml:space="preserve">ADAPTADOR PVC ROSCAVEL, COM FLANGES E ANEL DE VEDACAO, 1/2", PARA CAIXA D' AGUA  </t>
  </si>
  <si>
    <t xml:space="preserve">ADAPTADOR PVC SOLDAVEL, COM FLANGES LIVRES, 32 MM X 1", PARA CAIXA D' AGUA  </t>
  </si>
  <si>
    <t>ADAPTADOR PVC SOLDAVEL, LONGO, COM FLANGE LIVRE,  25 MM X 3/4", PARA CAIXA D' AGUA</t>
  </si>
  <si>
    <t xml:space="preserve">ADESIVO PLASTICO PARA PVC, BISNAGA COM 75 GR  </t>
  </si>
  <si>
    <t xml:space="preserve">FITA VEDA ROSCA EM ROLOS DE 18 MM X 10 M (L X C)  </t>
  </si>
  <si>
    <t xml:space="preserve">JOELHO PVC, SOLDAVEL, 90 GRAUS, 32 MM, PARA AGUA FRIA PREDIAL  </t>
  </si>
  <si>
    <t xml:space="preserve">TE SOLDAVEL, PVC, 90 GRAUS, 32 MM, PARA AGUA FRIA PREDIAL (NBR 5648)  </t>
  </si>
  <si>
    <t xml:space="preserve">TUBO PVC, SOLDAVEL, DN 25 MM, AGUA FRIA (NBR-5648)  </t>
  </si>
  <si>
    <t xml:space="preserve">TUBO PVC, SOLDAVEL, DN 32 MM, AGUA FRIA (NBR-5648)  </t>
  </si>
  <si>
    <t>REGISTRO DE ESFERA, PVC, COM VOLANTE, VS, SOLDAVEL, DN 32 MM, COM CORPO DIVIDIDO</t>
  </si>
  <si>
    <t>TORNEIRA METALICA DE BOIA CONVENCIONAL PARA CAIXA D'AGUA, 1/2", COM HASTE METALICA E BALAO PLASTICO</t>
  </si>
  <si>
    <t xml:space="preserve">CAIXA D'AGUA EM POLIETILENO 500 LITROS, COM TAMPA  </t>
  </si>
  <si>
    <t>AUXILIAR DE ENCANADOR OU BOMBEIRO HIDRÁULICO COM ENCARGOS COMPLEMENTARES</t>
  </si>
  <si>
    <t>ENCANADOR OU BOMBEIRO HIDRÁULICO COM ENCARGOS COMPLEMENTARES</t>
  </si>
  <si>
    <t>COMP. PROPRIA</t>
  </si>
  <si>
    <t>INSTALAÇÃO DE METAIS</t>
  </si>
  <si>
    <t xml:space="preserve">KIT DE ACESSORIOS PARA BANHEIRO EM METAL, 5 PECAS  </t>
  </si>
  <si>
    <t>INSTALAÇÃO DE ACESSORIOS</t>
  </si>
  <si>
    <t xml:space="preserve">KIT DE ACESSORIOS PARA BANHEIRO EM PLASTICO  </t>
  </si>
  <si>
    <t>INSTALAÇÃO DE QUADROS E DISJUNTORES - INSTALAÇÕES ELÉTRICAS</t>
  </si>
  <si>
    <t>PASSAGEM DE FIAÇÕES - INSTALAÇÕES ELÉTRICAS</t>
  </si>
  <si>
    <t>INSTALAÇÃO DE TUBULAÇÕES E CAIXAS P/INSTALAÇÕES ELÉTRICAS EM PAREDES E LAJES</t>
  </si>
  <si>
    <t>2.2.4</t>
  </si>
  <si>
    <t>CASTELO D'AGUA</t>
  </si>
  <si>
    <t>ELETRICISTA COM ENCARGOS COMPLEMENTARES</t>
  </si>
  <si>
    <t>PEÇAS PRÉ FABRICADAS EM CONCRETO ARMADO</t>
  </si>
  <si>
    <t>MÃO DE OBRA PARA MONTAGEM</t>
  </si>
  <si>
    <t xml:space="preserve">IMPERMEABILIZAÇÃO </t>
  </si>
  <si>
    <t>MÃO DE OBRA PARA IMPERMEABILIZAÇÃO</t>
  </si>
  <si>
    <t>SERVIÇOS DE FRETE/MUNCK</t>
  </si>
  <si>
    <t>COTAÇÃO</t>
  </si>
  <si>
    <t>SERVIÇOS DE FUNDAÇÃO P/ CASTELO D'AGUA</t>
  </si>
  <si>
    <t>ESCADA TIPO MARINHEIRO PADRÃO NR12</t>
  </si>
  <si>
    <t>INSTALAÇÃO SPDA</t>
  </si>
  <si>
    <t>05</t>
  </si>
  <si>
    <t>PARA-RAIOS TIPO FRANKLIN 350 MM, EM LATAO CROMADO, DUAS DESCIDAS, PARA PROTECAO DE EDIFICACOES CONTRA DESCARGAS ATMOSFERICAS</t>
  </si>
  <si>
    <t>AUXILIAR DE ELETRICISTA COM ENCARGOS COMPLEMENTARES</t>
  </si>
  <si>
    <t xml:space="preserve">MASTRO SIMPLES GALVANIZADO DIAMETRO NOMINAL 1 1/2", COMPRIMENTO 3 M  </t>
  </si>
  <si>
    <t>FIXAÇÃO DE TUBOS VERTICAIS DE PPR DIÂMETROS MENORES OU IGUAIS A 40 MM COM ABRAÇADEIRA METÁLICA RÍGIDA TIPO D 1/2", FIXADA EM PERFILADO EM ALVENARIA. AF_05/2015</t>
  </si>
  <si>
    <t>HASTE DE ATERRAMENTO EM ACO COM 3,00 M DE COMPRIMENTO E DN = 5/8", REVESTIDA COM BAIXA CAMADA DE COBRE, SEM CONECTOR</t>
  </si>
  <si>
    <t xml:space="preserve">ELETRODUTO DE PVC RIGIDO SOLDAVEL, CLASSE B, DE 40 MM  </t>
  </si>
  <si>
    <t>EXECUÇÃO DA FUNDAÇÃO DO CASTELO D'GUA</t>
  </si>
  <si>
    <t>EXECUÇÃO DE VIGAS BALDRAME</t>
  </si>
  <si>
    <t>EXECUÇÃO PILARES</t>
  </si>
  <si>
    <t>EXECUÇÃO DE LAJES</t>
  </si>
  <si>
    <t>INSTALAÇÃO DA CISTERNA</t>
  </si>
  <si>
    <t>EXECUÇÃO DO FECHAMENTO</t>
  </si>
  <si>
    <t>INSTALAÇÃO DAS CAIXAS D'ÁGUA</t>
  </si>
  <si>
    <t>INSTALAÇÃO DA BOMBA DE RECALQUE</t>
  </si>
  <si>
    <t>INSTALAÇÃO HIDRAULICA DOS BARRILETES E PRUMADAS</t>
  </si>
  <si>
    <t>ACABAMENTO DAS PAREDES</t>
  </si>
  <si>
    <t>novembro</t>
  </si>
  <si>
    <t>dezembro</t>
  </si>
  <si>
    <t>janeiro</t>
  </si>
  <si>
    <t>fevereiro</t>
  </si>
  <si>
    <t>março</t>
  </si>
  <si>
    <t>abril</t>
  </si>
  <si>
    <t>maio</t>
  </si>
  <si>
    <t>junho</t>
  </si>
  <si>
    <t>Pilares Em Concreto Armado, Com Armação Utilizando Ca-50, Concreto Fck=25 Mpa</t>
  </si>
  <si>
    <t>Vigas em concreto - fck=25 Mpa</t>
  </si>
  <si>
    <t>Cinta de amarração, em concreto - fck=25 Mpa</t>
  </si>
  <si>
    <t>Vergas e contra-vergas, em concreto - fck=25 Mpa</t>
  </si>
  <si>
    <t>m2</t>
  </si>
  <si>
    <t>Chuveiro eletrico comum corpo plastico tipo ducha, fornecimento e instalacao</t>
  </si>
  <si>
    <t>Lavatório louça branca sem coluna, 30x40 cm, padrão popular, incluso sifão flexível em pvc, válvula e engate flexível 30cm em plástico e com torneira cromada padrão popular - fornecimento e instalação.</t>
  </si>
  <si>
    <t>Bancada de mármore sintético 120 x 55 cm, fixada com mãos francesas, com cuba integrada, incluso sifão tipo flexível em pvc, válvula em plástico cromado tipo americana e torneira cromada longa, de parede, padrão popular - fornecimento e instalação.</t>
  </si>
  <si>
    <t>Tanque de PVC reforçado sem coluna com no 20 litros, com esfregador e dimensões  de 52x50 cm, com acessórios</t>
  </si>
  <si>
    <t xml:space="preserve">Vigas de baldrame em concreto armado, com armação utilizando CA-50, concreto fck = 25MPa </t>
  </si>
  <si>
    <t>Instalção de Interruptores, Tomadas e Luminárias, incluso material</t>
  </si>
  <si>
    <t>Passagem de Fiação em eletroduto, incluso material</t>
  </si>
  <si>
    <t>Instalação de Quadro com disjuntores, incluso material</t>
  </si>
  <si>
    <t>Aterramento de quadro de energia, incluso material</t>
  </si>
  <si>
    <t>Execução de Estrutura de Madeira Pontaleteada, incluso material</t>
  </si>
  <si>
    <t>Telhamento com telha cerâmica de encaixe, incluso material</t>
  </si>
  <si>
    <t>Cumeeira para telha Cerâmica, incluso material</t>
  </si>
  <si>
    <t>Instalação de Rufo em Chapa de Aço Galvanizada, incluso material</t>
  </si>
  <si>
    <t>Execução de Alvenaria de tijolos furados - (6 furos) - (oitões), incluso material</t>
  </si>
  <si>
    <t>Pintura Imunizanto Fungicida, incluso material</t>
  </si>
  <si>
    <t>Execução de Chapisco em Parede, incluso material</t>
  </si>
  <si>
    <t>Execução de Chapisco em Teto, incluso material</t>
  </si>
  <si>
    <t>Execução de Emboço/Reboco em Parede, incluso material</t>
  </si>
  <si>
    <t>Execução de Emboço/Reboco em Teto, incluso material</t>
  </si>
  <si>
    <t>Execução de Chapisco externo- traço 1:3, incluso material</t>
  </si>
  <si>
    <t>Execução de Emboço/Reboco externo, incluso material</t>
  </si>
  <si>
    <t>Assentamento de Caixas 4x2", incluso material</t>
  </si>
  <si>
    <t>Instalação de de Eletrodutos, incluso material</t>
  </si>
  <si>
    <t>Instalação de Tubos e Conexões Água Fria e Alimentação, incluso material</t>
  </si>
  <si>
    <t>Instalação de Tubos e Conexões Esgoto, incluso material</t>
  </si>
  <si>
    <t>Instalação de Janelas de Alumínio, incluso material</t>
  </si>
  <si>
    <t>Instalação de Porta de Alumínio, incluso material</t>
  </si>
  <si>
    <t>Instalação de Alçapão, incluso material</t>
  </si>
  <si>
    <t>Instalação de Portas em Madeira, incluso material</t>
  </si>
  <si>
    <t>Aplicação e Lixamento de Massa em Paredes internas, incluso material</t>
  </si>
  <si>
    <t>Aplicação de Tinta Latéx Acrílica em Paredes internas, incluso material</t>
  </si>
  <si>
    <t>Aplicação e Lixamento de Massa em Teto, incluso material</t>
  </si>
  <si>
    <t>Aplicação de Tinta Latéx Acrílica em Teto, incluso material</t>
  </si>
  <si>
    <t>Aplicação de Fundo Selador Acrílico em Paredes externas, incluso material</t>
  </si>
  <si>
    <t>Textura Acrílica em Paredes externas, incluso material</t>
  </si>
  <si>
    <t>Instalação de Forro em PVC Liso, incluso material</t>
  </si>
  <si>
    <t>Execução de calçada ao redor da casa em concreto simples - fck=10,5 MPa - e=5 cm, incluso material</t>
  </si>
  <si>
    <t>Execução do Contrapiso, incluso material</t>
  </si>
  <si>
    <t>Revestimento cerâmico para piso, incluso material</t>
  </si>
  <si>
    <t>Rodapé cerâmico, incluso material</t>
  </si>
  <si>
    <t>Instalação de Soleira, incluso material</t>
  </si>
  <si>
    <t>Instalação de Peitoril, incluso material</t>
  </si>
  <si>
    <t>Assentamento de Azulejo interno (cozinha e banheiros), incluso material</t>
  </si>
  <si>
    <t>Azulejo externo (área de serviço), incluso material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</si>
  <si>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</si>
  <si>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</si>
  <si>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</si>
  <si>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</si>
  <si>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</si>
  <si>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</si>
  <si>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</si>
  <si>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</si>
  <si>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</si>
  <si>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 xml:space="preserve">Instalação de Reservatório em PVC 310 litros, incluso material </t>
  </si>
  <si>
    <t>Kit de acessorios para banheiro, sobrepor, pvc - cabide, papeleira e saboneteira, incluso fixação e material</t>
  </si>
  <si>
    <t>Vaso sanitario em louça, auto sifonado, na cor branca, com caixa acoplada convencional, com dispositivo de duplo acionamento, incluso material</t>
  </si>
  <si>
    <t>Banco retrátil para banho com dimensões mínimas de 45x70 cm, incluso material</t>
  </si>
  <si>
    <t>Barras de apoio para bacia sanitária: 02 com comprimento de 80 cm, 01 com comprimento de 70 cm , incluso material</t>
  </si>
  <si>
    <t>Barra de apoio para banho com comprimento de 70 cm, incluso material</t>
  </si>
  <si>
    <t>Barra de apoio para banho formato “L” 70x70 cm, incluso material</t>
  </si>
  <si>
    <t>Barra de apoio para pia com comprimento de 40 cm, incluso material</t>
  </si>
  <si>
    <t>Barra de apoio para pia em formato “U” com comprimento de 20 cm, incluso material</t>
  </si>
  <si>
    <t>Placa Numeração Residencial, incluso material</t>
  </si>
  <si>
    <t>Limpeza Final Obra, incluso material de limpeza</t>
  </si>
  <si>
    <t>Serviços não incidentes cabem a execução da prefeitura</t>
  </si>
  <si>
    <t>CAIXA D´AGUA EM POLIETILENO, 310 LITROS, COM ACESSÓRIOS</t>
  </si>
  <si>
    <t xml:space="preserve">CONCRETAGEM E ARMAÇÃO DE PILARES DE CONCRETO ARMADO DE 20 CM DE DIAMETRO, INCLUSIVE LOCAÇÃO DE FORMAS CIRCULARES METALICAS </t>
  </si>
  <si>
    <t>PEDREIRO COM ENCARGOS COMPLEMENTARES</t>
  </si>
  <si>
    <t>LOCAÇÃO DE FORMA METALICA DE ATÉ 3 METROS, REDONDA</t>
  </si>
  <si>
    <t>CONCRETO USINADO FCK 25</t>
  </si>
  <si>
    <t>M3</t>
  </si>
  <si>
    <t>BARRAS DE AÇO CA-50 Ø10</t>
  </si>
  <si>
    <t>BR</t>
  </si>
  <si>
    <t>COBERTURAS EM ESTRUTURA DE MADEIRA, INCLUSIVE TELHAMENTO E MATERIAL</t>
  </si>
  <si>
    <t>paver</t>
  </si>
  <si>
    <t>EXECUÇÃO DE FORMAS E CONCRETAGEM DE PILARES EM CONCRETO ARMADO, COM ARMAÇÃO UTILIZANDO CA-50, CONCRETO FCK=25 MPA, INCLUSO MATERIAL</t>
  </si>
  <si>
    <t>EXECUÇÃO DE FORMAS E CONCRETAGEM DE VIGAS EM CONCRETO - FCK=25 MPA, INCLUSO MATERIAL</t>
  </si>
  <si>
    <t>ESCORAMENTO DE LAJE PRÉ-FABRICADA, PARA FORRO , COM CONCRETAGEM, INCLUSO MATERIAL</t>
  </si>
  <si>
    <t>CONCRETAGEM DE VERGAS E CONTRA-VERGAS, EM CONCRETO ARMADO, INCLUSO MATERIAL</t>
  </si>
  <si>
    <t>ESTACAS EM CONCRETO MOLDADA IN LOCO, INCLUSO MATERIAL</t>
  </si>
  <si>
    <t>EXECUÇÃO DE VIGAS BALDRAMES EM CONCRETO ARMADO COM IMPERMEABILIZAÇÃO, INCLUSO MATERIAL</t>
  </si>
  <si>
    <t>Plantio de Viburnum Tinus - Laurotino muda de 20 cm</t>
  </si>
  <si>
    <t>Plantio de Cordyline Terminalis-Dracena Vermelha muda de 50 cm</t>
  </si>
  <si>
    <t>Plantio de Duranta Erecta Aurea-Pingo de Ouro muda de 40 cm</t>
  </si>
  <si>
    <t>Plantio de Iris Germânica - Íris muda de 30 cm</t>
  </si>
  <si>
    <t>Plantio de Agapanthus Africanus - Agapanto muda de 30 cm</t>
  </si>
  <si>
    <t>Plantio de Rhododendron x simsii - Azaleia muda de 30 cm</t>
  </si>
  <si>
    <t>Plantio de Buxus Sempervirens - Buxinho muda de 30 cm</t>
  </si>
  <si>
    <t>Plantio de Aspidistra Elatior - Aspidistra muda de 30 cm</t>
  </si>
  <si>
    <t>Plantio de Peltophorum Dubium - Canafístula muda de 2,00 m</t>
  </si>
  <si>
    <t>Plantio de Cassia Leptophylla - Falso Barbatimão muda de 2,00 m</t>
  </si>
  <si>
    <t>Plantio de Senna Macranthera - Pau Fava muda de 2,00 m</t>
  </si>
  <si>
    <t>Execução de corte e aterro compensado (Movimentação de terra), com bota fora</t>
  </si>
  <si>
    <t>x</t>
  </si>
  <si>
    <t>EXECUÇÃO DE ALVENARIA DE VEDAÇÃO DE 1/2 VEZ, INCLUSO MATERIAL</t>
  </si>
  <si>
    <t>EXECUÇÃO DE ALVENARIA DE VEDAÇÃO DE 1/2 VEZ- RESPALDOS E FECHAMENTOS INCLUSO MATERIAL</t>
  </si>
  <si>
    <t>EXECUÇÃO DA ESTRUTURA DE MADEIRA SERRADA PARA COBERTURA COM TELHA CERÂMICA, INCLUSO MATERIAL</t>
  </si>
  <si>
    <t>TELAHEMNTO EM TELHA CERÂMICA DO TIPO AMERICANA - INCLUINDO CUMEEIRA E EMBOÇAMENTO, INCLUSO MATERIAL</t>
  </si>
  <si>
    <t>INSTALAÇÃO DE RUFO EM CHAPA GALVANIZADA, INLCUSO MATERIAL</t>
  </si>
  <si>
    <t>EXECUÇÃO DE CHAPISCO INTERNO, INCLUSO MATERIAL</t>
  </si>
  <si>
    <t>EXECUÇÃO DE CHAPISCO EXTERNO, INCLUSO MATERIAL</t>
  </si>
  <si>
    <t>EXECUÇÃO DE REBOCO MASSA UNICA INTERNO, INCLUSO MATERIAL</t>
  </si>
  <si>
    <t>EXECUÇÃO DE REBOCO MASSA UNICA EXTERNO, INCLUSO MATERIAL</t>
  </si>
  <si>
    <t>EXECUÇÃO DE CONTRAPISO ESP=5 cm, INCLUSO MATERIAL</t>
  </si>
  <si>
    <t>INSTALAÇÃO DE SOLEIRA EM ARDOSIA POLIDA, INCLUSO MATERIAL</t>
  </si>
  <si>
    <t>INSTALAÇÃO DE PEITORIL EM ARSOCIA POLIDA, INCLUSO MATERIAL</t>
  </si>
  <si>
    <t>ASSENTAMENTO DE REVESTIMENTO DE PAREDE EM CERÂMICA, INCLUSO MATERIAL</t>
  </si>
  <si>
    <t>ASSENTAMENTO DE REVESTIMENTO DE PISO EM CERÂMICA, INCLUSO MATERIAL</t>
  </si>
  <si>
    <t>ASSENTAMENTO DE RODAPÉ CERÂMICO H=7 cm, INCLUSO MATERIAL</t>
  </si>
  <si>
    <t>EXECUÇÃO DE PISO CIMENTADO EM ÁREA EXTERNA, INCLUSO MATERIAL</t>
  </si>
  <si>
    <t>EMASSAMENTO DE PAREDES INTERNAS, INCLUSO MATERIAL</t>
  </si>
  <si>
    <t>PINTURA COM TINTA LATEX SOBRE PAREDES E LAJES, INCLUSO MATERIAL</t>
  </si>
  <si>
    <t>PINTURA ESMALTE SOBRE ESQUADRIAS DE MADEIRA, INCLUSO MATERIAL</t>
  </si>
  <si>
    <t>PINTURA EM VERNIZ SOBRE ESTRUTURA DE MADEIRA, INCLUSO MATERIAL</t>
  </si>
  <si>
    <t>TEXTURA HIDRO REPELENTE SOBRE PAREDES EXTERNAS, INCLUSO MATERIAL</t>
  </si>
  <si>
    <t>LOCAÇÃO DE OBRA INCLUINDO LOCAÇÃO TOPOGRAFICA E GABARITO, INCLUSO MATERIAL</t>
  </si>
  <si>
    <t>EXECUÇÃO DE ESTACAS EM CONCRETO MOLDADA IN LOCO, INCLUSO MATERIAL</t>
  </si>
  <si>
    <t>INSTALAÇÃO DE INTERRUPTORES E TOMADAS, INCLUSO MATERIAL</t>
  </si>
  <si>
    <t>INSTALAÇÕES HIDRO-SANITÁRIAS DE PAREDES E LAJES, INCLUSO MATERIAL</t>
  </si>
  <si>
    <t>INSTALAÇÃO DE BARRILETE E CAIXA D'ÁGUA, INCLUSO MATERIAL</t>
  </si>
  <si>
    <t>EXECUÇÃO DE CHAPISCO INTERNO E EXTERNO, INCLUSO MATERIAL</t>
  </si>
  <si>
    <t>EXECUÇÃO DE REBOCO MASSA UNICA INTERNO E EXTERNO, INCLUSO MATERIAL</t>
  </si>
  <si>
    <t>EXECUÇÃO DE CONTRAPISO ESP=5 CM, INCLUSO MATERIAL</t>
  </si>
  <si>
    <t>INSTALAÇÃO DE  PEITORIL EM ARSOCIA POLIDA, INCLUSO MATERIAL</t>
  </si>
  <si>
    <t>ASSENTAMENTO DE REVESTIMENTO CERAMICO EM PAREDE, INCLUSO MATERIAL</t>
  </si>
  <si>
    <t>ASSENTAMENTO DE REVESTIMENTO CERAMICO EM PISO, INCLUSO MATERIAL</t>
  </si>
  <si>
    <t>PINTURA EM TINTA LATEX SOBRE PAREDES E LAJES, INCLUSO MATERIAL</t>
  </si>
  <si>
    <t>PINTURA DE ESMALTE SOBRE ESQUADRIAS DE MADEIRA, INCLUSO MATERIAL</t>
  </si>
  <si>
    <t>EXECUÇÃO DE FUNDAÇÕES EM ESTACA TIPO BROCA 20 cm DE DIAMETRO, INCLUSO MATERIAL</t>
  </si>
  <si>
    <t xml:space="preserve">CONCRETAGEM E ARMAÇÃO DE PILARES DE CONCRETO ARMADO DE 20 cm DE DIAMETRO, INCLUSIVE LOCAÇÃO DE FORMAS CIRCULARES METALICAS </t>
  </si>
  <si>
    <t>EXECUÇÃO DE PISO EM PAVER DE CONCRETO, INCLUSO MATERIAL</t>
  </si>
  <si>
    <t>INSTALAÇÃO DE BANCADA DE MÁRMORE SINTÉTICO, INSTALADA COM MÃO FRANCESA, INCLUSO MATERIAL</t>
  </si>
  <si>
    <t>INSTALAÇÃO DE KIT TORNEIRA, SIFÃO E VALVULA, PARA PIAS DE COZINHA CONFORME MEMORIAL, INCLUSO MATERIAL</t>
  </si>
  <si>
    <t>INSTALAÇÃO DE LAVATORIO SEM COLUNA DE LOUÇA BRANCA DE 30x40 cm, INCLUINDO TORNEIRA METÁLICA DE ½”, CROMADA, DE SOBREPOR, COM ACIONAMENTO ALAVANCA DOTADA DE AREJADOR E REDUTOR DE VAZÃO, INLCUSO MATERIAL</t>
  </si>
  <si>
    <t>INSTALAÇÃO DE VASO SANITÁRIO EM LOUÇA, AUTO SIFONADO, NA COR BRANCA, COM CAIXA ACOPLADA CONVENCIONAL, COM DISPOSITIVO DE DUPLO ACIONAMENTO, INCLUSO MATERIAL</t>
  </si>
  <si>
    <t>INSTALAÇÃO DE BARRAS DE APOIO PARA BACIA SANITÁRIA: 02 COM COMPRIMENTO DE 80 cm, 01 COM COMPRIMENTO DE 70 cm, INCLUSO MATERIAL</t>
  </si>
  <si>
    <t>INSTALAÇÃO DE BARRA DE APOIO PARA PIA COM COMPRIMENTO DE 40 cm, INCLUSO MATERIAL</t>
  </si>
  <si>
    <t>INSTALAÇÃO DE BARRA DE APOIO PARA PIA EM FORMATO "U" COM COMPRIMENTO DE 20 cm, INCLUSO MATERIAL</t>
  </si>
  <si>
    <t>KIT DE ACESSORIOS PARA BANHEIRO, SOBREPOR, PVC - CABIDE, PAPELEIRA E SABONETEIRA, INCLUSO FIXAÇÃO E MATERIAL</t>
  </si>
  <si>
    <t>1.5.11</t>
  </si>
  <si>
    <t>1.5.12</t>
  </si>
  <si>
    <t>1.5.13</t>
  </si>
  <si>
    <t>1.5.14</t>
  </si>
  <si>
    <t>1.5.15</t>
  </si>
  <si>
    <t>1.5.16</t>
  </si>
  <si>
    <t>INSTALAÇÃO DE FIAÇÃO, INCLUSO MATERIAL</t>
  </si>
  <si>
    <t>INSTALAÇÃO DE QUADROS E DISJUNTORES, INCLUSO MATERIAL</t>
  </si>
  <si>
    <t>APLICAÇÃO DE SELADOR SOBRE LAJE, INCLUSO MATERIAL</t>
  </si>
  <si>
    <t>2.5.7</t>
  </si>
  <si>
    <t>2.5.8</t>
  </si>
  <si>
    <t>2.5.9</t>
  </si>
  <si>
    <t>INSTALAÇÃO DE LAVATÓRIO DO BANHEIRO COR BRANCA SEM COLUNA, DIMENSÕES DE 30X40 cm, INCLUSO MATERIAL</t>
  </si>
  <si>
    <t>INSTALAÇÃO DE SABONETEIRA EXTERNA DE SOBREPOR COM BUCHAS E PARAFUSOS NO BOX DO BANHEIRO. CHUVEIRO ELÉTRICO PLÁSTICO – 220V/5.500W, CABIDE EXTERNO DE SOBREPOR COM BUCHAS E PARAFUSOS. INCLUSO MATERIAL</t>
  </si>
  <si>
    <t>INSTALAÇÃO DE TUBULAÇÕES DE PAREDES E LAJES, INCLUSO MATERIAL</t>
  </si>
  <si>
    <t>Execução de Muros de arrimo (com drenagem) e guarda corpo, incluso material</t>
  </si>
  <si>
    <t>Plantio de Grama em taludes, com material</t>
  </si>
  <si>
    <t>Instalação de Canaletas de concreto para micro drenagem, incluso material</t>
  </si>
  <si>
    <t>Instalação de Caixa de passagem (60x60 cm), incluso material</t>
  </si>
  <si>
    <t>Execução de taludes de contenção, incluso material</t>
  </si>
  <si>
    <t>Execução de Muro de divisa h= 1,8 e gradil de portão, com material</t>
  </si>
  <si>
    <t>Fornecimento e instalação de castelo d'agua</t>
  </si>
  <si>
    <t>Rede de distribuição de água potavel, com tubos em PVC 25 mm e conexões, considerando escavação de vala, assentamento e reaterro</t>
  </si>
  <si>
    <t>Hidrômetro DN 50 (2" ), 5,0 M³/H fornecimento e instalação</t>
  </si>
  <si>
    <t>3.2.4</t>
  </si>
  <si>
    <t>3.2.5</t>
  </si>
  <si>
    <t>Instalação de Tubo de concreto DN 40 cm, incluso material</t>
  </si>
  <si>
    <t>Instalação de Poço de visita DN 40 cm, incluso material</t>
  </si>
  <si>
    <t>Instalação de Calha de concreto de diametro 20 cm com grelha de ferro fundido, incluso material</t>
  </si>
  <si>
    <t>Instalação de Caixa de ligação, incluso material</t>
  </si>
  <si>
    <t>Escavação de valas, incluso material</t>
  </si>
  <si>
    <t>Reaterro compactado de valas, incluso material</t>
  </si>
  <si>
    <t>Escavação de valas e reaterro compactado, para instalação de tubos de esgoto</t>
  </si>
  <si>
    <t>Instalação de tubos de esgoto de PVC branco 100 mm</t>
  </si>
  <si>
    <t>Instalação de tubos de esgoto de PVC ocre 150 mm</t>
  </si>
  <si>
    <t>Instalação de caixas de passagem 40 x 40 cm</t>
  </si>
  <si>
    <t>Instalação de TIL de ligação</t>
  </si>
  <si>
    <t>3.3.3</t>
  </si>
  <si>
    <t>3.3.4</t>
  </si>
  <si>
    <t>3.3.5</t>
  </si>
  <si>
    <t>3.3.6</t>
  </si>
  <si>
    <t>Escavação de valas e reaterro para assentamento de eletrodutos Ø 20 mm2</t>
  </si>
  <si>
    <t>Escavação de valas e reaterro para assentamento de eletrodutos Ø 25 mm2</t>
  </si>
  <si>
    <t>Instalação de caixas de passagem 20 x 20 cm para rede de monitoramento</t>
  </si>
  <si>
    <t>Instalação de cabos de rede para ponto de câmera de video</t>
  </si>
  <si>
    <t>Instalação de fiação de 2,5 mm² para ponto de câmera de video</t>
  </si>
  <si>
    <t>Instalação de cabos de telefonia com 4 pares de fios, incluso material</t>
  </si>
  <si>
    <t>Instalação de cabos de telefonia com 2 pares AWG 24, incluso material</t>
  </si>
  <si>
    <t>Instalação de cabos de telefonia com 1 par de fios, incluso material</t>
  </si>
  <si>
    <t>Fornecimento e instalação de extintores de 4 kg</t>
  </si>
  <si>
    <t>Fornecimento e instalação de placas de sinalização conforme projeto PPCI aprovado</t>
  </si>
  <si>
    <t>Fornecimento e instalação de placa de saida</t>
  </si>
  <si>
    <t>LOCAÇÃO DE ANDAIME</t>
  </si>
  <si>
    <t>Instalação de caixas de passagem 20 x 20 cm para rede de energia</t>
  </si>
  <si>
    <t>Instalação de caixas de passagem 40 x 40 cm para rede de telefonia e de energia</t>
  </si>
  <si>
    <t>8.6</t>
  </si>
  <si>
    <t>8.7</t>
  </si>
  <si>
    <t>8.8</t>
  </si>
  <si>
    <t>06</t>
  </si>
  <si>
    <t>MURO DE ARRIMO</t>
  </si>
  <si>
    <t xml:space="preserve">AREIA MEDIA - POSTO JAZIDA/FORNECEDOR (RETIRADO NA JAZIDA, SEM TRANSPORTE)  </t>
  </si>
  <si>
    <t xml:space="preserve">CAL VIRGEM COMUM PARA ARGAMASSAS (NBR 6453)  </t>
  </si>
  <si>
    <t>KG</t>
  </si>
  <si>
    <t xml:space="preserve">CIMENTO PORTLAND COMPOSTO CP II-32  </t>
  </si>
  <si>
    <t xml:space="preserve">TIJOLO CERAMICO MACICO *5 X 10 X 20* CM  </t>
  </si>
  <si>
    <t>TUBO ACO GALVANIZADO COM COSTURA, CLASSE MEDIA, DN 1.1/2", E = *3,25* MM, PESO *3,61* KG/M (NBR 5580)</t>
  </si>
  <si>
    <t>SERRALHEIRO COM ENCARGOS COMPLEMENTARES</t>
  </si>
  <si>
    <t>ARGAMASSA TRAÇO 1:4 (CIMENTO E AREIA MÉDIA), PREPARO MANUAL. AF_08/2014</t>
  </si>
  <si>
    <t>COMPACTAÇÃO DO SUB LEITO EM 20 cm</t>
  </si>
  <si>
    <t>EXECUÇÃO BASE DE BRITA GRADUADA EM 10 cm, INCLUSO MATERIAL</t>
  </si>
  <si>
    <t>EXECUÇÃO CAMADA DE AREIA EM 05 cm, INCLUSO MATERIAL</t>
  </si>
  <si>
    <t>ASSENTAMENTO DE PAVER 20 X 10 X 6 cm, INCLUSO MATERIAL</t>
  </si>
  <si>
    <t>INSTALAÇÃO E FORNECIMENTO DE EQUIPAMENTOS DE ACADEMIA AO AR LIVRE</t>
  </si>
  <si>
    <t>4.1.5</t>
  </si>
  <si>
    <t>EXECUÇÃO BASE DE BRITA GRADUADA EM 05 cm, INCLUSO MATERIAL</t>
  </si>
  <si>
    <t>EXECUÇÃO DE PISO EM CONCRETO SIMPLES DE 5 cm, INCLUSO MATERIAL</t>
  </si>
  <si>
    <t>4.2.5</t>
  </si>
  <si>
    <t>4.2.6</t>
  </si>
  <si>
    <t>4.2.7</t>
  </si>
  <si>
    <t>EXECUÇÃO DE ESTACAS EM MADEIRA IMUNIZADA E IMPERMEABILIZADA 10 X 10 DE 150 cm, INCLUSO MATERIAL</t>
  </si>
  <si>
    <t>EXECUÇÃO DE BARROTEAMENTO EM MADEIRA IMUNIZADA, INCLUSO MATERIAL</t>
  </si>
  <si>
    <t>EXECUÇÃO DE DECK DE MADEIRA PLÁSTICA, INCLUSO MATERIAL</t>
  </si>
  <si>
    <t>EXECUÇÃO DE FLOREIRAS ELEVADAS, EM ALVAENARIA COM BANCOS ABACABADOS EM RIPAMENTO, INCLUSO PINTURA</t>
  </si>
  <si>
    <t>INSTALAÇÃO DE LIXEIRAS TIPO CONTAINER EM AÇO GALVANIZADO (CHAPA 1,25mm), COM COMPARTIMENTO DUPLO, 2 TAMPAS EM DECLIVE E PUXADORES EM ANTIMÔNIO CROMADO. APRESENTAM SISTEMA DE FECHAMENTO (PORTA CADEADO), SISTEMA DE AMORTECEDORES NAS TAMPAS E DRENO PARA ESCOAMENTO DE RESÍDUOS LÍQUIDOS. INCLUSO MATERIAL</t>
  </si>
  <si>
    <t>PINTURA INTERNA DAS LIXEIRAS EM TINTA EMBORRACHADA AUTOMATIVA, INCLUSO MATERIAL</t>
  </si>
  <si>
    <t>PINTURA EXTERNA DAS LIXEIRAS EM TINTA ESMALTE SINTETICO, INCLUSO MATERIAL</t>
  </si>
  <si>
    <t>INSTALAÇÃO DE LIXEIRA PLÁSTICA DUPLA DE 50 L CADA, INCLUSO MATERIAL</t>
  </si>
  <si>
    <t>EXECUÇÃO DE BANCO DE MESA DE JOGOS EM CONCRETO E ALVENARIA, INCLUSO MATERIAL</t>
  </si>
  <si>
    <t>INSTALAÇÃO DE BANCO DE MADEIRA COM PE DE FERRO FUNDIDO, INCLUSO FORNECIMENTO</t>
  </si>
  <si>
    <t>4.3.2</t>
  </si>
  <si>
    <t>4.3.3</t>
  </si>
  <si>
    <t>4.3.4</t>
  </si>
  <si>
    <t>4.3.5</t>
  </si>
  <si>
    <t>4.3.6</t>
  </si>
  <si>
    <t>4.3.7</t>
  </si>
  <si>
    <t>EXECUÇÃO DE MESA DE JOGOS EM CONCRETO E ALVENARIA, INCLUSO MATERIAL</t>
  </si>
  <si>
    <t>EXECUÇÃO DE FLOREIRA EM CONCRETO, INCLUSO MATERIAL</t>
  </si>
  <si>
    <t>4.3.8</t>
  </si>
  <si>
    <t> 21,90</t>
  </si>
  <si>
    <t>PINTURA DE BANCO E MESA DE JOGOS EM TINTA LATEX ACRILICA, INCLUSO MATERIAL</t>
  </si>
  <si>
    <t>4.3.9</t>
  </si>
  <si>
    <t>Posteamento para iluminação pública, inlcuso poste de 3,0 metros de altura</t>
  </si>
  <si>
    <t>Posteamento para iluminação pública, inlcuso poste de 8,0 metros de altura</t>
  </si>
  <si>
    <t>Escavação e reaterro de valas para instalação de eletroduto reforçado de Ø50 mm, para rede de telefonia, inlcuso material</t>
  </si>
  <si>
    <t>Escavação e reaterro de valas para instalação de eletroduto reforçado de Ø40 mm, para rede de telefonia, inlcuso material</t>
  </si>
  <si>
    <t>Escavação e reaterro de valas para instalação de eletroduto reforçado de Ø32 mm, para rede de telefonia, inlcuso material</t>
  </si>
  <si>
    <t>Escavação e reaterro de valas para instalação de eletroduto reforçado de Ø20 mm, para rede de telefonia, inlcuso material</t>
  </si>
  <si>
    <t>Escavação e reaterro de valas para instalação de eletroduto reforçado de Ø60 mm, para rede eletrica, inlcuso material</t>
  </si>
  <si>
    <t>Escavação e reaterro de valas para instalação de eletroduto reforçado de Ø50 mm, para rede eletrica, inlcuso material</t>
  </si>
  <si>
    <t>Escavação e reaterro de valas para instalação de eletroduto reforçado de Ø40 mm, para rede eletrica, inlcuso material</t>
  </si>
  <si>
    <t>Escavação e reaterro de valas para instalação de eletroduto reforçado de Ø25 mm, para rede eletrica, inlcuso material</t>
  </si>
  <si>
    <t>Escavação e reaterro de valas para instalação de eletroduto reforçado de Ø20 mm, para rede eletrica, inlcuso material</t>
  </si>
  <si>
    <t>Instalação de fiação de diametro de 2,5 mm2, para rede eletrica, incluso material</t>
  </si>
  <si>
    <t>Instalação de fiação de diametro de 4 mm2, para rede eletrica, incluso material</t>
  </si>
  <si>
    <t>Instalação de fiação de diametro de 10 mm2 (aluminio), para rede eletrica, incluso material</t>
  </si>
  <si>
    <t>Instalação de fiação de diametro de 16 mm2 (aluminio), para rede eletrica, incluso material</t>
  </si>
  <si>
    <t>Instalação de fiação de diametro de 25 mm2 (aluminio), para rede eletrica, incluso material</t>
  </si>
  <si>
    <t>Instalação de padrão de entrada de energia, incluso material</t>
  </si>
  <si>
    <t>Instalação do sistema de proteção contra descargas atmosfericas, incluso material</t>
  </si>
  <si>
    <t>Instalação de lâmpadas de vapor de sódio, 220v de 70 W de potência em postes, inlcuso material</t>
  </si>
  <si>
    <t>Pavimentação em Paver 20 x 10 x 6 cm, para aruamento, incluso material</t>
  </si>
  <si>
    <t>Pavimentação em Paver 20 x 10 x 6 cm, para estacionamento, incluso material</t>
  </si>
  <si>
    <t>Execução de passeio em concreto simples, incluso material</t>
  </si>
  <si>
    <t>Plantio de grama em passeio, incluso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</si>
</sst>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_);\(&quot;R$&quot;#,##0.00\)"/>
    <numFmt numFmtId="165" formatCode="_(&quot;R$&quot;* #,##0.00_);_(&quot;R$&quot;* \(#,##0.00\);_(&quot;R$&quot;* &quot;-&quot;??_);_(@_)"/>
    <numFmt numFmtId="166" formatCode="_(* #,##0.00_);_(* \(#,##0.00\);_(* &quot;-&quot;??_);_(@_)"/>
    <numFmt numFmtId="167" formatCode="#."/>
    <numFmt numFmtId="168" formatCode="&quot;N$&quot;#,##0_);\(&quot;N$&quot;#,##0\)"/>
    <numFmt numFmtId="169" formatCode="_-&quot;$&quot;* #,##0_-;\-&quot;$&quot;* #,##0_-;_-&quot;$&quot;* &quot;-&quot;_-;_-@_-"/>
    <numFmt numFmtId="170" formatCode="_-&quot;$&quot;* #,##0.00_-;\-&quot;$&quot;* #,##0.00_-;_-&quot;$&quot;* &quot;-&quot;??_-;_-@_-"/>
    <numFmt numFmtId="171" formatCode="_([$€-2]* #,##0.00_);_([$€-2]* \(#,##0.00\);_([$€-2]* &quot;-&quot;??_)"/>
    <numFmt numFmtId="172" formatCode="_(* #,##0.00_);_(* \(#,##0.00\);_(* \-??_);_(@_)"/>
    <numFmt numFmtId="173" formatCode="_ * #,##0_ ;_ * \-#,##0_ ;_ * &quot;-&quot;_ ;_ @_ "/>
    <numFmt numFmtId="174" formatCode="_ * #,##0.00_ ;_ * \-#,##0.00_ ;_ * &quot;-&quot;??_ ;_ @_ "/>
    <numFmt numFmtId="175" formatCode="_-&quot;R$ &quot;* #,##0.00_-;&quot;-R$ &quot;* #,##0.00_-;_-&quot;R$ &quot;* \-??_-;_-@_-"/>
    <numFmt numFmtId="176" formatCode="#,##0.00;[Red]\-#,##0.00;"/>
    <numFmt numFmtId="177" formatCode="_ &quot;S/&quot;* #,##0_ ;_ &quot;S/&quot;* \-#,##0_ ;_ &quot;S/&quot;* &quot;-&quot;_ ;_ @_ "/>
    <numFmt numFmtId="178" formatCode="_ &quot;S/&quot;* #,##0.00_ ;_ &quot;S/&quot;* \-#,##0.00_ ;_ &quot;S/&quot;* &quot;-&quot;??_ ;_ @_ "/>
    <numFmt numFmtId="179" formatCode="0.0000000"/>
    <numFmt numFmtId="180" formatCode="_-* #,##0.00_-;\-* #,##0.00_-;_-* \-??_-;_-@_-"/>
    <numFmt numFmtId="181" formatCode="#,##0.00\ ;&quot; (&quot;#,##0.00\);&quot; -&quot;#\ ;@\ "/>
    <numFmt numFmtId="182" formatCode="#"/>
    <numFmt numFmtId="183" formatCode="#,##0.000"/>
    <numFmt numFmtId="184" formatCode="&quot;R$&quot;\ #,##0.00"/>
    <numFmt numFmtId="185" formatCode="#,##0.00\ ;[Red]\(#,##0.00\)"/>
    <numFmt numFmtId="186" formatCode="&quot;R$&quot;#,##0.00;\-&quot;R$&quot;#,##0.00"/>
    <numFmt numFmtId="187" formatCode="0.0000"/>
    <numFmt numFmtId="188" formatCode="0.000000"/>
    <numFmt numFmtId="189" formatCode="0.000%"/>
    <numFmt numFmtId="190" formatCode="_(* #,##0.0000_);_(* \(#,##0.0000\);_(* &quot;-&quot;??_);_(@_)"/>
    <numFmt numFmtId="191" formatCode="0.00000%"/>
    <numFmt numFmtId="192" formatCode="_(* #,##0.000_);_(* \(#,##0.000\);_(* &quot;-&quot;??_);_(@_)"/>
    <numFmt numFmtId="193" formatCode="_-* #,##0.000_-;\-* #,##0.000_-;_-* &quot;-&quot;???_-;_-@_-"/>
    <numFmt numFmtId="194" formatCode="_(* #,##0.000000_);_(* \(#,##0.000000\);_(* &quot;-&quot;??_);_(@_)"/>
  </numFmts>
  <fonts count="92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"/>
      <color indexed="16"/>
      <name val="Courier"/>
      <family val="3"/>
    </font>
    <font>
      <sz val="10"/>
      <name val="MS Sans Serif"/>
      <family val="2"/>
    </font>
    <font>
      <sz val="10"/>
      <name val="Geneva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62"/>
      <name val="Calibri"/>
      <family val="2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20"/>
      <name val="Arial"/>
      <family val="2"/>
    </font>
    <font>
      <sz val="8"/>
      <name val="Arial"/>
      <family val="2"/>
    </font>
    <font>
      <b/>
      <sz val="12"/>
      <name val="Helv"/>
    </font>
    <font>
      <b/>
      <sz val="1"/>
      <color indexed="16"/>
      <name val="Courier"/>
      <family val="3"/>
    </font>
    <font>
      <sz val="11"/>
      <color indexed="20"/>
      <name val="Calibri"/>
      <family val="2"/>
    </font>
    <font>
      <b/>
      <sz val="11"/>
      <name val="Helv"/>
    </font>
    <font>
      <sz val="12"/>
      <color indexed="8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b/>
      <sz val="8"/>
      <name val="Times New Roman"/>
      <family val="1"/>
    </font>
    <font>
      <sz val="8"/>
      <name val="Helv"/>
    </font>
    <font>
      <b/>
      <sz val="11"/>
      <color indexed="63"/>
      <name val="Calibri"/>
      <family val="2"/>
    </font>
    <font>
      <sz val="1"/>
      <color indexed="18"/>
      <name val="Courier"/>
      <family val="3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0"/>
      <color rgb="FF00B050"/>
      <name val="Calibri"/>
      <family val="2"/>
    </font>
    <font>
      <b/>
      <sz val="10"/>
      <color rgb="FF0070C0"/>
      <name val="Calibri"/>
      <family val="2"/>
    </font>
    <font>
      <b/>
      <sz val="11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1"/>
      <name val="Times New Roman"/>
      <family val="1"/>
    </font>
    <font>
      <b/>
      <sz val="10"/>
      <color theme="0" tint="-0.499984740745262"/>
      <name val="Arial"/>
      <family val="2"/>
    </font>
    <font>
      <sz val="8"/>
      <name val="Calibri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8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10"/>
      <color rgb="FFFF0000"/>
      <name val="Arial"/>
      <family val="2"/>
    </font>
    <font>
      <b/>
      <sz val="16"/>
      <color indexed="8"/>
      <name val="Arial"/>
      <family val="2"/>
    </font>
    <font>
      <u/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</font>
    <font>
      <sz val="11"/>
      <name val="Arial"/>
      <family val="2"/>
    </font>
    <font>
      <sz val="8"/>
      <color indexed="8"/>
      <name val="Arial"/>
      <family val="2"/>
    </font>
    <font>
      <b/>
      <sz val="10"/>
      <color rgb="FFFF0000"/>
      <name val="Calibri"/>
      <family val="2"/>
    </font>
  </fonts>
  <fills count="7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42"/>
      </patternFill>
    </fill>
    <fill>
      <patternFill patternType="solid">
        <fgColor indexed="22"/>
        <bgColor indexed="42"/>
      </patternFill>
    </fill>
    <fill>
      <patternFill patternType="solid">
        <fgColor indexed="13"/>
        <bgColor indexed="42"/>
      </patternFill>
    </fill>
    <fill>
      <patternFill patternType="solid">
        <fgColor rgb="FFFF6600"/>
        <bgColor rgb="FFFF99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2"/>
      </patternFill>
    </fill>
    <fill>
      <patternFill patternType="solid">
        <fgColor theme="0" tint="-0.14999847407452621"/>
        <bgColor indexed="42"/>
      </patternFill>
    </fill>
    <fill>
      <patternFill patternType="solid">
        <fgColor rgb="FF00B0F0"/>
        <bgColor indexed="42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42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2"/>
      </patternFill>
    </fill>
    <fill>
      <patternFill patternType="solid">
        <fgColor theme="2"/>
        <b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8" tint="0.39997558519241921"/>
        <bgColor indexed="42"/>
      </patternFill>
    </fill>
    <fill>
      <patternFill patternType="solid">
        <fgColor indexed="4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4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9" borderId="0" applyNumberFormat="0" applyBorder="0" applyAlignment="0" applyProtection="0"/>
    <xf numFmtId="0" fontId="2" fillId="6" borderId="0" applyNumberFormat="0" applyBorder="0" applyAlignment="0" applyProtection="0"/>
    <xf numFmtId="0" fontId="2" fillId="19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9" borderId="0" applyNumberFormat="0" applyBorder="0" applyAlignment="0" applyProtection="0"/>
    <xf numFmtId="0" fontId="2" fillId="6" borderId="0" applyNumberFormat="0" applyBorder="0" applyAlignment="0" applyProtection="0"/>
    <xf numFmtId="0" fontId="2" fillId="19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12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6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0" borderId="0" applyNumberFormat="0" applyBorder="0" applyAlignment="0" applyProtection="0"/>
    <xf numFmtId="0" fontId="8" fillId="6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2" borderId="0" applyNumberFormat="0" applyBorder="0" applyAlignment="0" applyProtection="0"/>
    <xf numFmtId="0" fontId="9" fillId="6" borderId="0" applyNumberFormat="0" applyBorder="0" applyAlignment="0" applyProtection="0"/>
    <xf numFmtId="0" fontId="9" fillId="13" borderId="0" applyNumberFormat="0" applyBorder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4" borderId="4"/>
    <xf numFmtId="0" fontId="13" fillId="34" borderId="4" applyNumberFormat="0" applyAlignment="0" applyProtection="0"/>
    <xf numFmtId="0" fontId="13" fillId="34" borderId="4" applyNumberFormat="0" applyAlignment="0" applyProtection="0"/>
    <xf numFmtId="0" fontId="13" fillId="34" borderId="4" applyNumberFormat="0" applyAlignment="0" applyProtection="0"/>
    <xf numFmtId="0" fontId="14" fillId="35" borderId="4" applyNumberFormat="0" applyAlignment="0" applyProtection="0"/>
    <xf numFmtId="0" fontId="14" fillId="35" borderId="4" applyNumberFormat="0" applyAlignment="0" applyProtection="0"/>
    <xf numFmtId="0" fontId="14" fillId="35" borderId="4" applyNumberFormat="0" applyAlignment="0" applyProtection="0"/>
    <xf numFmtId="0" fontId="13" fillId="34" borderId="4" applyNumberFormat="0" applyAlignment="0" applyProtection="0"/>
    <xf numFmtId="0" fontId="14" fillId="35" borderId="4" applyNumberFormat="0" applyAlignment="0" applyProtection="0"/>
    <xf numFmtId="0" fontId="13" fillId="33" borderId="4" applyNumberFormat="0" applyAlignment="0" applyProtection="0"/>
    <xf numFmtId="0" fontId="13" fillId="33" borderId="4" applyNumberFormat="0" applyAlignment="0" applyProtection="0"/>
    <xf numFmtId="0" fontId="13" fillId="33" borderId="4" applyNumberFormat="0" applyAlignment="0" applyProtection="0"/>
    <xf numFmtId="0" fontId="15" fillId="0" borderId="0"/>
    <xf numFmtId="0" fontId="16" fillId="36" borderId="5" applyNumberFormat="0" applyAlignment="0" applyProtection="0"/>
    <xf numFmtId="0" fontId="16" fillId="37" borderId="5" applyNumberFormat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7" fillId="0" borderId="6" applyNumberFormat="0" applyFill="0" applyAlignment="0" applyProtection="0"/>
    <xf numFmtId="167" fontId="19" fillId="0" borderId="0">
      <protection locked="0"/>
    </xf>
    <xf numFmtId="38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167" fontId="19" fillId="0" borderId="0">
      <protection locked="0"/>
    </xf>
    <xf numFmtId="0" fontId="22" fillId="0" borderId="0"/>
    <xf numFmtId="0" fontId="23" fillId="0" borderId="0"/>
    <xf numFmtId="0" fontId="22" fillId="0" borderId="0"/>
    <xf numFmtId="0" fontId="23" fillId="0" borderId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167" fontId="19" fillId="0" borderId="0">
      <protection locked="0"/>
    </xf>
    <xf numFmtId="168" fontId="7" fillId="0" borderId="0">
      <alignment horizontal="center"/>
    </xf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7" fontId="19" fillId="0" borderId="0">
      <protection locked="0"/>
    </xf>
    <xf numFmtId="167" fontId="19" fillId="0" borderId="0">
      <protection locked="0"/>
    </xf>
    <xf numFmtId="0" fontId="24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29" borderId="0" applyNumberFormat="0" applyBorder="0" applyAlignment="0" applyProtection="0"/>
    <xf numFmtId="0" fontId="8" fillId="43" borderId="0" applyNumberFormat="0" applyBorder="0" applyAlignment="0" applyProtection="0"/>
    <xf numFmtId="0" fontId="8" fillId="18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31" borderId="0" applyNumberFormat="0" applyBorder="0" applyAlignment="0" applyProtection="0"/>
    <xf numFmtId="0" fontId="8" fillId="39" borderId="0" applyNumberFormat="0" applyBorder="0" applyAlignment="0" applyProtection="0"/>
    <xf numFmtId="0" fontId="8" fillId="46" borderId="0" applyNumberFormat="0" applyBorder="0" applyAlignment="0" applyProtection="0"/>
    <xf numFmtId="0" fontId="26" fillId="47" borderId="4"/>
    <xf numFmtId="0" fontId="26" fillId="16" borderId="4" applyNumberFormat="0" applyAlignment="0" applyProtection="0"/>
    <xf numFmtId="0" fontId="26" fillId="16" borderId="4" applyNumberFormat="0" applyAlignment="0" applyProtection="0"/>
    <xf numFmtId="0" fontId="26" fillId="16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16" borderId="4" applyNumberFormat="0" applyAlignment="0" applyProtection="0"/>
    <xf numFmtId="0" fontId="26" fillId="21" borderId="4" applyNumberFormat="0" applyAlignment="0" applyProtection="0"/>
    <xf numFmtId="0" fontId="26" fillId="7" borderId="4" applyNumberFormat="0" applyAlignment="0" applyProtection="0"/>
    <xf numFmtId="0" fontId="26" fillId="7" borderId="4" applyNumberFormat="0" applyAlignment="0" applyProtection="0"/>
    <xf numFmtId="0" fontId="26" fillId="7" borderId="4" applyNumberFormat="0" applyAlignment="0" applyProtection="0"/>
    <xf numFmtId="0" fontId="27" fillId="1" borderId="8" applyFont="0" applyFill="0" applyBorder="0" applyAlignment="0">
      <alignment horizontal="center" vertical="center"/>
    </xf>
    <xf numFmtId="0" fontId="28" fillId="0" borderId="0"/>
    <xf numFmtId="0" fontId="29" fillId="0" borderId="0"/>
    <xf numFmtId="0" fontId="29" fillId="0" borderId="0"/>
    <xf numFmtId="171" fontId="7" fillId="0" borderId="0" applyFont="0" applyFill="0" applyBorder="0" applyAlignment="0" applyProtection="0"/>
    <xf numFmtId="172" fontId="2" fillId="0" borderId="0"/>
    <xf numFmtId="172" fontId="7" fillId="0" borderId="0"/>
    <xf numFmtId="172" fontId="2" fillId="0" borderId="0"/>
    <xf numFmtId="172" fontId="7" fillId="0" borderId="0"/>
    <xf numFmtId="172" fontId="7" fillId="0" borderId="0"/>
    <xf numFmtId="172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167" fontId="19" fillId="0" borderId="0"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38" fontId="31" fillId="48" borderId="0" applyNumberFormat="0" applyBorder="0" applyAlignment="0" applyProtection="0"/>
    <xf numFmtId="0" fontId="32" fillId="0" borderId="0">
      <alignment horizontal="left"/>
    </xf>
    <xf numFmtId="167" fontId="33" fillId="0" borderId="0">
      <protection locked="0"/>
    </xf>
    <xf numFmtId="167" fontId="33" fillId="0" borderId="0"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10" fontId="31" fillId="48" borderId="9" applyNumberFormat="0" applyBorder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5" fillId="0" borderId="1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ill="0" applyBorder="0" applyAlignment="0" applyProtection="0"/>
    <xf numFmtId="165" fontId="6" fillId="0" borderId="0" applyFill="0" applyBorder="0" applyAlignment="0" applyProtection="0"/>
    <xf numFmtId="175" fontId="7" fillId="0" borderId="0"/>
    <xf numFmtId="175" fontId="7" fillId="0" borderId="0"/>
    <xf numFmtId="165" fontId="7" fillId="0" borderId="0" applyFill="0" applyBorder="0" applyAlignment="0" applyProtection="0"/>
    <xf numFmtId="165" fontId="2" fillId="0" borderId="0" applyFont="0" applyFill="0" applyBorder="0" applyAlignment="0" applyProtection="0"/>
    <xf numFmtId="175" fontId="7" fillId="0" borderId="0"/>
    <xf numFmtId="165" fontId="7" fillId="0" borderId="0" applyFill="0" applyBorder="0" applyAlignment="0" applyProtection="0"/>
    <xf numFmtId="40" fontId="2" fillId="0" borderId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65" fontId="7" fillId="0" borderId="0" applyFill="0" applyBorder="0" applyAlignment="0" applyProtection="0"/>
    <xf numFmtId="175" fontId="7" fillId="0" borderId="0"/>
    <xf numFmtId="165" fontId="1" fillId="0" borderId="0" applyFont="0" applyFill="0" applyBorder="0" applyAlignment="0" applyProtection="0"/>
    <xf numFmtId="165" fontId="7" fillId="0" borderId="0" applyFill="0" applyBorder="0" applyAlignment="0" applyProtection="0"/>
    <xf numFmtId="175" fontId="2" fillId="0" borderId="0"/>
    <xf numFmtId="175" fontId="7" fillId="0" borderId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75" fontId="2" fillId="0" borderId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5" fontId="2" fillId="0" borderId="0"/>
    <xf numFmtId="175" fontId="2" fillId="0" borderId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24" fillId="0" borderId="0">
      <protection locked="0"/>
    </xf>
    <xf numFmtId="0" fontId="37" fillId="21" borderId="0" applyNumberFormat="0" applyBorder="0" applyAlignment="0" applyProtection="0"/>
    <xf numFmtId="0" fontId="38" fillId="4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37" fontId="39" fillId="0" borderId="0"/>
    <xf numFmtId="179" fontId="7" fillId="0" borderId="0"/>
    <xf numFmtId="0" fontId="36" fillId="0" borderId="0"/>
    <xf numFmtId="0" fontId="36" fillId="0" borderId="0"/>
    <xf numFmtId="0" fontId="36" fillId="0" borderId="0"/>
    <xf numFmtId="0" fontId="61" fillId="0" borderId="0"/>
    <xf numFmtId="0" fontId="2" fillId="0" borderId="0"/>
    <xf numFmtId="0" fontId="61" fillId="0" borderId="0"/>
    <xf numFmtId="0" fontId="2" fillId="0" borderId="0"/>
    <xf numFmtId="0" fontId="4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41" fillId="0" borderId="0" applyNumberFormat="0" applyFill="0" applyBorder="0" applyAlignment="0" applyProtection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/>
    <xf numFmtId="0" fontId="7" fillId="0" borderId="0"/>
    <xf numFmtId="0" fontId="3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2" fillId="0" borderId="0"/>
    <xf numFmtId="0" fontId="54" fillId="0" borderId="0"/>
    <xf numFmtId="0" fontId="7" fillId="0" borderId="0"/>
    <xf numFmtId="0" fontId="54" fillId="0" borderId="0"/>
    <xf numFmtId="0" fontId="36" fillId="0" borderId="0"/>
    <xf numFmtId="0" fontId="61" fillId="0" borderId="0"/>
    <xf numFmtId="0" fontId="7" fillId="0" borderId="0"/>
    <xf numFmtId="0" fontId="36" fillId="0" borderId="0"/>
    <xf numFmtId="0" fontId="36" fillId="0" borderId="0"/>
    <xf numFmtId="0" fontId="61" fillId="0" borderId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6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50" borderId="11"/>
    <xf numFmtId="0" fontId="2" fillId="51" borderId="11" applyNumberFormat="0" applyAlignment="0" applyProtection="0"/>
    <xf numFmtId="0" fontId="2" fillId="51" borderId="11" applyNumberFormat="0" applyAlignment="0" applyProtection="0"/>
    <xf numFmtId="0" fontId="2" fillId="51" borderId="11" applyNumberFormat="0" applyAlignment="0" applyProtection="0"/>
    <xf numFmtId="0" fontId="7" fillId="12" borderId="11" applyNumberFormat="0" applyFont="0" applyAlignment="0" applyProtection="0"/>
    <xf numFmtId="0" fontId="7" fillId="12" borderId="11" applyNumberFormat="0" applyFont="0" applyAlignment="0" applyProtection="0"/>
    <xf numFmtId="0" fontId="7" fillId="12" borderId="11" applyNumberFormat="0" applyFont="0" applyAlignment="0" applyProtection="0"/>
    <xf numFmtId="0" fontId="2" fillId="51" borderId="11" applyNumberFormat="0" applyAlignment="0" applyProtection="0"/>
    <xf numFmtId="0" fontId="7" fillId="12" borderId="11" applyNumberFormat="0" applyFont="0" applyAlignment="0" applyProtection="0"/>
    <xf numFmtId="0" fontId="2" fillId="12" borderId="11" applyNumberFormat="0" applyFont="0" applyAlignment="0" applyProtection="0"/>
    <xf numFmtId="0" fontId="2" fillId="12" borderId="11" applyNumberFormat="0" applyFont="0" applyAlignment="0" applyProtection="0"/>
    <xf numFmtId="0" fontId="2" fillId="12" borderId="11" applyNumberFormat="0" applyFont="0" applyAlignment="0" applyProtection="0"/>
    <xf numFmtId="0" fontId="2" fillId="12" borderId="11" applyNumberFormat="0" applyFont="0" applyAlignment="0" applyProtection="0"/>
    <xf numFmtId="0" fontId="2" fillId="12" borderId="11" applyNumberFormat="0" applyFont="0" applyAlignment="0" applyProtection="0"/>
    <xf numFmtId="0" fontId="2" fillId="12" borderId="11" applyNumberFormat="0" applyFont="0" applyAlignment="0" applyProtection="0"/>
    <xf numFmtId="0" fontId="2" fillId="12" borderId="11" applyNumberFormat="0" applyFont="0" applyAlignment="0" applyProtection="0"/>
    <xf numFmtId="167" fontId="19" fillId="0" borderId="0">
      <protection locked="0"/>
    </xf>
    <xf numFmtId="10" fontId="7" fillId="0" borderId="0" applyFont="0" applyFill="0" applyBorder="0" applyAlignment="0" applyProtection="0"/>
    <xf numFmtId="9" fontId="2" fillId="0" borderId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12" applyNumberFormat="0" applyFont="0" applyBorder="0" applyAlignment="0"/>
    <xf numFmtId="9" fontId="27" fillId="0" borderId="0" applyFill="0" applyBorder="0" applyAlignment="0" applyProtection="0"/>
    <xf numFmtId="9" fontId="7" fillId="0" borderId="0"/>
    <xf numFmtId="9" fontId="7" fillId="0" borderId="0" applyFill="0" applyBorder="0" applyAlignment="0" applyProtection="0"/>
    <xf numFmtId="9" fontId="2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2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/>
    <xf numFmtId="9" fontId="7" fillId="0" borderId="0" applyFont="0" applyFill="0" applyBorder="0" applyAlignment="0" applyProtection="0"/>
    <xf numFmtId="9" fontId="2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24" fillId="0" borderId="0">
      <protection locked="0"/>
    </xf>
    <xf numFmtId="38" fontId="43" fillId="0" borderId="0"/>
    <xf numFmtId="0" fontId="44" fillId="34" borderId="13"/>
    <xf numFmtId="0" fontId="44" fillId="34" borderId="13" applyNumberFormat="0" applyAlignment="0" applyProtection="0"/>
    <xf numFmtId="0" fontId="44" fillId="34" borderId="13" applyNumberFormat="0" applyAlignment="0" applyProtection="0"/>
    <xf numFmtId="0" fontId="44" fillId="34" borderId="13" applyNumberFormat="0" applyAlignment="0" applyProtection="0"/>
    <xf numFmtId="0" fontId="44" fillId="35" borderId="13" applyNumberFormat="0" applyAlignment="0" applyProtection="0"/>
    <xf numFmtId="0" fontId="44" fillId="35" borderId="13" applyNumberFormat="0" applyAlignment="0" applyProtection="0"/>
    <xf numFmtId="0" fontId="44" fillId="35" borderId="13" applyNumberFormat="0" applyAlignment="0" applyProtection="0"/>
    <xf numFmtId="0" fontId="44" fillId="34" borderId="13" applyNumberFormat="0" applyAlignment="0" applyProtection="0"/>
    <xf numFmtId="0" fontId="44" fillId="35" borderId="13" applyNumberFormat="0" applyAlignment="0" applyProtection="0"/>
    <xf numFmtId="0" fontId="44" fillId="33" borderId="13" applyNumberFormat="0" applyAlignment="0" applyProtection="0"/>
    <xf numFmtId="0" fontId="44" fillId="33" borderId="13" applyNumberFormat="0" applyAlignment="0" applyProtection="0"/>
    <xf numFmtId="0" fontId="44" fillId="33" borderId="13" applyNumberFormat="0" applyAlignment="0" applyProtection="0"/>
    <xf numFmtId="167" fontId="45" fillId="0" borderId="0">
      <protection locked="0"/>
    </xf>
    <xf numFmtId="180" fontId="7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2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2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2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80" fontId="7" fillId="0" borderId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ill="0" applyBorder="0" applyAlignment="0" applyProtection="0"/>
    <xf numFmtId="182" fontId="7" fillId="0" borderId="0"/>
    <xf numFmtId="182" fontId="7" fillId="0" borderId="0"/>
    <xf numFmtId="182" fontId="7" fillId="0" borderId="0" applyFill="0" applyBorder="0" applyAlignment="0" applyProtection="0"/>
    <xf numFmtId="166" fontId="2" fillId="0" borderId="0" applyFont="0" applyFill="0" applyBorder="0" applyAlignment="0" applyProtection="0"/>
    <xf numFmtId="182" fontId="7" fillId="0" borderId="0"/>
    <xf numFmtId="182" fontId="7" fillId="0" borderId="0" applyFill="0" applyBorder="0" applyAlignment="0" applyProtection="0"/>
    <xf numFmtId="172" fontId="2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/>
    <xf numFmtId="182" fontId="7" fillId="0" borderId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72" fontId="2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72" fontId="2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2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ill="0" applyBorder="0" applyAlignment="0" applyProtection="0"/>
    <xf numFmtId="0" fontId="35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6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3" fillId="55" borderId="0" applyBorder="0" applyProtection="0"/>
    <xf numFmtId="0" fontId="47" fillId="0" borderId="14" applyNumberFormat="0" applyFill="0" applyAlignment="0" applyProtection="0"/>
    <xf numFmtId="0" fontId="10" fillId="0" borderId="1" applyNumberFormat="0" applyFill="0" applyAlignment="0" applyProtection="0"/>
    <xf numFmtId="0" fontId="48" fillId="0" borderId="15" applyNumberFormat="0" applyFill="0" applyAlignment="0" applyProtection="0"/>
    <xf numFmtId="0" fontId="11" fillId="0" borderId="2" applyNumberFormat="0" applyFill="0" applyAlignment="0" applyProtection="0"/>
    <xf numFmtId="0" fontId="49" fillId="0" borderId="16" applyNumberFormat="0" applyFill="0" applyAlignment="0" applyProtection="0"/>
    <xf numFmtId="0" fontId="12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0" fillId="0" borderId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17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16" fillId="36" borderId="5" applyNumberFormat="0" applyAlignment="0" applyProtection="0"/>
    <xf numFmtId="0" fontId="16" fillId="36" borderId="5" applyNumberFormat="0" applyAlignment="0" applyProtection="0"/>
    <xf numFmtId="166" fontId="2" fillId="0" borderId="0" applyFont="0" applyFill="0" applyBorder="0" applyAlignment="0" applyProtection="0"/>
    <xf numFmtId="166" fontId="27" fillId="0" borderId="0" applyFill="0" applyBorder="0" applyAlignment="0" applyProtection="0"/>
    <xf numFmtId="166" fontId="6" fillId="0" borderId="0" applyFill="0" applyBorder="0" applyAlignment="0" applyProtection="0"/>
    <xf numFmtId="166" fontId="53" fillId="0" borderId="0" applyFont="0" applyFill="0" applyBorder="0" applyAlignment="0" applyProtection="0"/>
    <xf numFmtId="180" fontId="2" fillId="0" borderId="0"/>
    <xf numFmtId="180" fontId="2" fillId="0" borderId="0"/>
    <xf numFmtId="172" fontId="2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0" fontId="2" fillId="0" borderId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80" fontId="2" fillId="0" borderId="0"/>
    <xf numFmtId="180" fontId="2" fillId="0" borderId="0"/>
    <xf numFmtId="180" fontId="2" fillId="0" borderId="0"/>
    <xf numFmtId="180" fontId="2" fillId="0" borderId="0"/>
    <xf numFmtId="166" fontId="36" fillId="0" borderId="0" applyFont="0" applyFill="0" applyBorder="0" applyAlignment="0" applyProtection="0"/>
    <xf numFmtId="180" fontId="7" fillId="0" borderId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80" fontId="2" fillId="0" borderId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81" fontId="7" fillId="0" borderId="0"/>
    <xf numFmtId="181" fontId="7" fillId="0" borderId="0" applyFill="0" applyBorder="0" applyAlignment="0" applyProtection="0"/>
    <xf numFmtId="166" fontId="2" fillId="0" borderId="0" applyFont="0" applyFill="0" applyBorder="0" applyAlignment="0" applyProtection="0"/>
    <xf numFmtId="18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6" fillId="0" borderId="0" applyFill="0" applyBorder="0" applyAlignment="0" applyProtection="0"/>
    <xf numFmtId="181" fontId="7" fillId="0" borderId="0" applyFill="0" applyBorder="0" applyAlignment="0" applyProtection="0"/>
    <xf numFmtId="9" fontId="73" fillId="0" borderId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166" fontId="73" fillId="0" borderId="0" applyFill="0" applyBorder="0" applyAlignment="0" applyProtection="0"/>
    <xf numFmtId="181" fontId="7" fillId="0" borderId="0" applyFill="0" applyBorder="0" applyAlignment="0" applyProtection="0"/>
    <xf numFmtId="0" fontId="7" fillId="0" borderId="0"/>
    <xf numFmtId="165" fontId="73" fillId="0" borderId="0" applyFill="0" applyBorder="0" applyAlignment="0" applyProtection="0"/>
    <xf numFmtId="165" fontId="6" fillId="0" borderId="0" applyFill="0" applyBorder="0" applyAlignment="0" applyProtection="0"/>
    <xf numFmtId="166" fontId="6" fillId="0" borderId="0" applyFill="0" applyBorder="0" applyAlignment="0" applyProtection="0"/>
    <xf numFmtId="165" fontId="1" fillId="0" borderId="0" applyFont="0" applyFill="0" applyBorder="0" applyAlignment="0" applyProtection="0"/>
  </cellStyleXfs>
  <cellXfs count="662">
    <xf numFmtId="0" fontId="0" fillId="0" borderId="0" xfId="0"/>
    <xf numFmtId="0" fontId="3" fillId="52" borderId="0" xfId="0" applyFont="1" applyFill="1" applyBorder="1" applyAlignment="1" applyProtection="1">
      <alignment vertical="center"/>
      <protection locked="0"/>
    </xf>
    <xf numFmtId="1" fontId="4" fillId="53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53" borderId="9" xfId="0" applyFont="1" applyFill="1" applyBorder="1" applyAlignment="1" applyProtection="1">
      <alignment horizontal="center" vertical="center" wrapText="1"/>
      <protection locked="0"/>
    </xf>
    <xf numFmtId="4" fontId="4" fillId="53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52" borderId="0" xfId="0" applyFont="1" applyFill="1" applyAlignment="1" applyProtection="1">
      <alignment vertical="center"/>
      <protection locked="0"/>
    </xf>
    <xf numFmtId="4" fontId="5" fillId="52" borderId="0" xfId="0" applyNumberFormat="1" applyFont="1" applyFill="1" applyAlignment="1" applyProtection="1">
      <alignment horizontal="right" vertical="center"/>
      <protection locked="0"/>
    </xf>
    <xf numFmtId="0" fontId="0" fillId="52" borderId="0" xfId="0" applyFont="1" applyFill="1" applyBorder="1" applyAlignment="1" applyProtection="1">
      <alignment vertical="center"/>
      <protection locked="0"/>
    </xf>
    <xf numFmtId="0" fontId="0" fillId="52" borderId="0" xfId="0" applyFont="1" applyFill="1" applyAlignment="1" applyProtection="1">
      <alignment vertical="center"/>
      <protection locked="0"/>
    </xf>
    <xf numFmtId="1" fontId="0" fillId="52" borderId="0" xfId="0" applyNumberFormat="1" applyFont="1" applyFill="1" applyAlignment="1" applyProtection="1">
      <alignment horizontal="center" vertical="center"/>
      <protection locked="0"/>
    </xf>
    <xf numFmtId="0" fontId="0" fillId="52" borderId="0" xfId="0" applyFont="1" applyFill="1" applyAlignment="1" applyProtection="1">
      <alignment vertical="justify" wrapText="1"/>
      <protection locked="0"/>
    </xf>
    <xf numFmtId="0" fontId="0" fillId="52" borderId="0" xfId="0" applyFont="1" applyFill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/>
    </xf>
    <xf numFmtId="0" fontId="55" fillId="52" borderId="0" xfId="0" applyFont="1" applyFill="1" applyAlignment="1" applyProtection="1">
      <alignment vertical="center"/>
      <protection locked="0"/>
    </xf>
    <xf numFmtId="0" fontId="55" fillId="52" borderId="0" xfId="0" applyFont="1" applyFill="1" applyAlignment="1" applyProtection="1">
      <alignment vertical="justify" wrapText="1"/>
      <protection locked="0"/>
    </xf>
    <xf numFmtId="0" fontId="55" fillId="52" borderId="0" xfId="0" applyFont="1" applyFill="1" applyAlignment="1" applyProtection="1">
      <alignment horizontal="center" vertical="center"/>
      <protection locked="0"/>
    </xf>
    <xf numFmtId="4" fontId="56" fillId="52" borderId="0" xfId="0" applyNumberFormat="1" applyFont="1" applyFill="1" applyAlignment="1" applyProtection="1">
      <alignment horizontal="right" vertical="center"/>
      <protection locked="0"/>
    </xf>
    <xf numFmtId="4" fontId="0" fillId="52" borderId="0" xfId="0" applyNumberFormat="1" applyFont="1" applyFill="1" applyAlignment="1" applyProtection="1">
      <alignment horizontal="right" vertical="center"/>
      <protection locked="0"/>
    </xf>
    <xf numFmtId="0" fontId="4" fillId="52" borderId="0" xfId="0" applyFont="1" applyFill="1" applyBorder="1" applyAlignment="1" applyProtection="1">
      <alignment vertical="center" wrapText="1"/>
      <protection locked="0"/>
    </xf>
    <xf numFmtId="0" fontId="4" fillId="52" borderId="0" xfId="0" applyFont="1" applyFill="1" applyAlignment="1" applyProtection="1">
      <alignment vertical="center" wrapText="1"/>
      <protection locked="0"/>
    </xf>
    <xf numFmtId="1" fontId="4" fillId="52" borderId="9" xfId="0" applyNumberFormat="1" applyFont="1" applyFill="1" applyBorder="1" applyAlignment="1" applyProtection="1">
      <alignment horizontal="center" vertical="center" wrapText="1"/>
      <protection locked="0"/>
    </xf>
    <xf numFmtId="2" fontId="4" fillId="52" borderId="9" xfId="0" applyNumberFormat="1" applyFont="1" applyFill="1" applyBorder="1" applyAlignment="1" applyProtection="1">
      <alignment horizontal="left" vertical="justify" wrapText="1"/>
      <protection locked="0"/>
    </xf>
    <xf numFmtId="2" fontId="4" fillId="52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52" borderId="9" xfId="0" applyNumberFormat="1" applyFont="1" applyFill="1" applyBorder="1" applyAlignment="1" applyProtection="1">
      <alignment horizontal="right" vertical="center" wrapText="1"/>
      <protection locked="0"/>
    </xf>
    <xf numFmtId="1" fontId="57" fillId="52" borderId="9" xfId="0" applyNumberFormat="1" applyFont="1" applyFill="1" applyBorder="1" applyAlignment="1" applyProtection="1">
      <alignment horizontal="center" vertical="center" wrapText="1"/>
      <protection locked="0"/>
    </xf>
    <xf numFmtId="2" fontId="57" fillId="52" borderId="9" xfId="0" applyNumberFormat="1" applyFont="1" applyFill="1" applyBorder="1" applyAlignment="1" applyProtection="1">
      <alignment horizontal="left" vertical="justify" wrapText="1"/>
      <protection locked="0"/>
    </xf>
    <xf numFmtId="2" fontId="57" fillId="52" borderId="9" xfId="0" applyNumberFormat="1" applyFont="1" applyFill="1" applyBorder="1" applyAlignment="1" applyProtection="1">
      <alignment horizontal="center" vertical="center" wrapText="1"/>
      <protection locked="0"/>
    </xf>
    <xf numFmtId="4" fontId="57" fillId="52" borderId="9" xfId="0" applyNumberFormat="1" applyFont="1" applyFill="1" applyBorder="1" applyAlignment="1" applyProtection="1">
      <alignment horizontal="right" vertical="center" wrapText="1"/>
      <protection locked="0"/>
    </xf>
    <xf numFmtId="1" fontId="3" fillId="52" borderId="0" xfId="0" applyNumberFormat="1" applyFont="1" applyFill="1" applyAlignment="1" applyProtection="1">
      <alignment horizontal="center" vertical="center"/>
      <protection locked="0"/>
    </xf>
    <xf numFmtId="0" fontId="3" fillId="52" borderId="0" xfId="0" applyFont="1" applyFill="1" applyAlignment="1" applyProtection="1">
      <alignment vertical="justify" wrapText="1"/>
      <protection locked="0"/>
    </xf>
    <xf numFmtId="0" fontId="3" fillId="52" borderId="0" xfId="0" applyFont="1" applyFill="1" applyAlignment="1" applyProtection="1">
      <alignment horizontal="center" vertical="center"/>
      <protection locked="0"/>
    </xf>
    <xf numFmtId="4" fontId="57" fillId="52" borderId="0" xfId="0" applyNumberFormat="1" applyFont="1" applyFill="1" applyAlignment="1" applyProtection="1">
      <alignment horizontal="right" vertical="center"/>
      <protection locked="0"/>
    </xf>
    <xf numFmtId="1" fontId="58" fillId="52" borderId="0" xfId="0" applyNumberFormat="1" applyFont="1" applyFill="1" applyBorder="1" applyAlignment="1" applyProtection="1">
      <alignment horizontal="center" vertical="center"/>
      <protection locked="0"/>
    </xf>
    <xf numFmtId="0" fontId="4" fillId="52" borderId="0" xfId="0" applyFont="1" applyFill="1" applyAlignment="1" applyProtection="1">
      <alignment vertical="center"/>
      <protection locked="0"/>
    </xf>
    <xf numFmtId="0" fontId="57" fillId="52" borderId="0" xfId="0" applyFont="1" applyFill="1" applyAlignment="1" applyProtection="1">
      <alignment vertical="center" wrapText="1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4" fontId="4" fillId="52" borderId="0" xfId="0" applyNumberFormat="1" applyFont="1" applyFill="1" applyBorder="1" applyAlignment="1" applyProtection="1">
      <alignment vertical="center" wrapText="1"/>
      <protection locked="0"/>
    </xf>
    <xf numFmtId="4" fontId="57" fillId="52" borderId="0" xfId="0" applyNumberFormat="1" applyFont="1" applyFill="1" applyBorder="1" applyAlignment="1" applyProtection="1">
      <alignment vertical="center" wrapText="1"/>
      <protection locked="0"/>
    </xf>
    <xf numFmtId="4" fontId="3" fillId="52" borderId="0" xfId="0" applyNumberFormat="1" applyFont="1" applyFill="1" applyBorder="1" applyAlignment="1" applyProtection="1">
      <alignment vertical="center"/>
      <protection locked="0"/>
    </xf>
    <xf numFmtId="10" fontId="3" fillId="0" borderId="0" xfId="0" applyNumberFormat="1" applyFont="1"/>
    <xf numFmtId="4" fontId="3" fillId="0" borderId="0" xfId="0" applyNumberFormat="1" applyFont="1"/>
    <xf numFmtId="0" fontId="58" fillId="0" borderId="0" xfId="0" applyFont="1" applyAlignment="1">
      <alignment horizontal="center" vertical="center"/>
    </xf>
    <xf numFmtId="0" fontId="58" fillId="0" borderId="0" xfId="0" applyFont="1"/>
    <xf numFmtId="165" fontId="3" fillId="0" borderId="9" xfId="0" applyNumberFormat="1" applyFont="1" applyBorder="1"/>
    <xf numFmtId="4" fontId="0" fillId="52" borderId="0" xfId="0" applyNumberFormat="1" applyFont="1" applyFill="1" applyBorder="1" applyAlignment="1" applyProtection="1">
      <alignment vertical="center"/>
      <protection locked="0"/>
    </xf>
    <xf numFmtId="4" fontId="57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10" fontId="58" fillId="57" borderId="9" xfId="0" applyNumberFormat="1" applyFont="1" applyFill="1" applyBorder="1" applyAlignment="1">
      <alignment horizontal="center"/>
    </xf>
    <xf numFmtId="4" fontId="58" fillId="57" borderId="9" xfId="0" applyNumberFormat="1" applyFont="1" applyFill="1" applyBorder="1" applyAlignment="1">
      <alignment horizontal="center"/>
    </xf>
    <xf numFmtId="165" fontId="3" fillId="57" borderId="9" xfId="0" applyNumberFormat="1" applyFont="1" applyFill="1" applyBorder="1"/>
    <xf numFmtId="10" fontId="3" fillId="57" borderId="9" xfId="0" applyNumberFormat="1" applyFont="1" applyFill="1" applyBorder="1" applyAlignment="1">
      <alignment horizontal="center"/>
    </xf>
    <xf numFmtId="4" fontId="3" fillId="57" borderId="9" xfId="0" applyNumberFormat="1" applyFont="1" applyFill="1" applyBorder="1" applyAlignment="1">
      <alignment horizontal="center"/>
    </xf>
    <xf numFmtId="165" fontId="58" fillId="57" borderId="9" xfId="0" applyNumberFormat="1" applyFont="1" applyFill="1" applyBorder="1"/>
    <xf numFmtId="10" fontId="58" fillId="57" borderId="9" xfId="0" applyNumberFormat="1" applyFont="1" applyFill="1" applyBorder="1"/>
    <xf numFmtId="1" fontId="4" fillId="58" borderId="19" xfId="0" applyNumberFormat="1" applyFont="1" applyFill="1" applyBorder="1" applyAlignment="1" applyProtection="1">
      <alignment horizontal="left" vertical="center"/>
      <protection locked="0"/>
    </xf>
    <xf numFmtId="4" fontId="4" fillId="58" borderId="19" xfId="0" applyNumberFormat="1" applyFont="1" applyFill="1" applyBorder="1" applyAlignment="1" applyProtection="1">
      <alignment horizontal="right" vertical="center"/>
      <protection locked="0"/>
    </xf>
    <xf numFmtId="1" fontId="4" fillId="57" borderId="21" xfId="0" applyNumberFormat="1" applyFont="1" applyFill="1" applyBorder="1" applyAlignment="1" applyProtection="1">
      <alignment horizontal="left" vertical="center"/>
      <protection locked="0"/>
    </xf>
    <xf numFmtId="4" fontId="4" fillId="58" borderId="9" xfId="0" applyNumberFormat="1" applyFont="1" applyFill="1" applyBorder="1" applyAlignment="1" applyProtection="1">
      <alignment horizontal="right" vertical="center" wrapText="1"/>
      <protection locked="0"/>
    </xf>
    <xf numFmtId="1" fontId="4" fillId="58" borderId="20" xfId="0" applyNumberFormat="1" applyFont="1" applyFill="1" applyBorder="1" applyAlignment="1" applyProtection="1">
      <alignment horizontal="left" vertical="center"/>
      <protection locked="0"/>
    </xf>
    <xf numFmtId="2" fontId="4" fillId="58" borderId="21" xfId="0" applyNumberFormat="1" applyFont="1" applyFill="1" applyBorder="1" applyAlignment="1" applyProtection="1">
      <alignment horizontal="left" vertical="center"/>
      <protection locked="0"/>
    </xf>
    <xf numFmtId="4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4" fillId="52" borderId="22" xfId="0" applyNumberFormat="1" applyFont="1" applyFill="1" applyBorder="1" applyAlignment="1" applyProtection="1">
      <alignment horizontal="center" vertical="center" wrapText="1"/>
      <protection locked="0"/>
    </xf>
    <xf numFmtId="2" fontId="4" fillId="52" borderId="22" xfId="0" applyNumberFormat="1" applyFont="1" applyFill="1" applyBorder="1" applyAlignment="1" applyProtection="1">
      <alignment horizontal="left" vertical="justify" wrapText="1"/>
      <protection locked="0"/>
    </xf>
    <xf numFmtId="2" fontId="4" fillId="52" borderId="22" xfId="0" applyNumberFormat="1" applyFont="1" applyFill="1" applyBorder="1" applyAlignment="1" applyProtection="1">
      <alignment horizontal="center" vertical="center" wrapText="1"/>
      <protection locked="0"/>
    </xf>
    <xf numFmtId="4" fontId="4" fillId="52" borderId="2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4" fontId="57" fillId="59" borderId="9" xfId="0" applyNumberFormat="1" applyFont="1" applyFill="1" applyBorder="1" applyAlignment="1" applyProtection="1">
      <alignment horizontal="right" vertical="center" wrapText="1"/>
      <protection locked="0"/>
    </xf>
    <xf numFmtId="4" fontId="57" fillId="59" borderId="2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9" xfId="0" applyNumberFormat="1" applyFont="1" applyFill="1" applyBorder="1"/>
    <xf numFmtId="0" fontId="3" fillId="0" borderId="0" xfId="0" applyFont="1" applyFill="1"/>
    <xf numFmtId="165" fontId="3" fillId="0" borderId="9" xfId="0" applyNumberFormat="1" applyFont="1" applyBorder="1" applyAlignment="1">
      <alignment vertical="center"/>
    </xf>
    <xf numFmtId="10" fontId="3" fillId="0" borderId="9" xfId="0" applyNumberFormat="1" applyFont="1" applyBorder="1" applyAlignment="1">
      <alignment vertical="center" wrapText="1"/>
    </xf>
    <xf numFmtId="10" fontId="3" fillId="0" borderId="9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8" fillId="0" borderId="9" xfId="0" applyFont="1" applyBorder="1" applyAlignment="1">
      <alignment vertical="center" wrapText="1"/>
    </xf>
    <xf numFmtId="10" fontId="3" fillId="57" borderId="9" xfId="0" applyNumberFormat="1" applyFont="1" applyFill="1" applyBorder="1" applyAlignment="1">
      <alignment vertical="center" wrapText="1"/>
    </xf>
    <xf numFmtId="10" fontId="58" fillId="57" borderId="9" xfId="0" applyNumberFormat="1" applyFont="1" applyFill="1" applyBorder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58" fillId="57" borderId="9" xfId="0" applyNumberFormat="1" applyFont="1" applyFill="1" applyBorder="1" applyAlignment="1">
      <alignment horizontal="center" vertical="center"/>
    </xf>
    <xf numFmtId="4" fontId="3" fillId="57" borderId="9" xfId="0" applyNumberFormat="1" applyFont="1" applyFill="1" applyBorder="1" applyAlignment="1">
      <alignment horizontal="center" vertical="center"/>
    </xf>
    <xf numFmtId="4" fontId="3" fillId="57" borderId="9" xfId="0" applyNumberFormat="1" applyFont="1" applyFill="1" applyBorder="1" applyAlignment="1">
      <alignment vertical="center"/>
    </xf>
    <xf numFmtId="165" fontId="58" fillId="57" borderId="9" xfId="0" applyNumberFormat="1" applyFont="1" applyFill="1" applyBorder="1" applyAlignment="1">
      <alignment vertical="center"/>
    </xf>
    <xf numFmtId="4" fontId="3" fillId="0" borderId="9" xfId="0" applyNumberFormat="1" applyFont="1" applyFill="1" applyBorder="1" applyAlignment="1">
      <alignment vertical="center"/>
    </xf>
    <xf numFmtId="4" fontId="4" fillId="53" borderId="20" xfId="0" applyNumberFormat="1" applyFont="1" applyFill="1" applyBorder="1" applyAlignment="1" applyProtection="1">
      <alignment horizontal="center" vertical="center" wrapText="1"/>
      <protection locked="0"/>
    </xf>
    <xf numFmtId="0" fontId="57" fillId="52" borderId="0" xfId="0" applyFont="1" applyFill="1" applyAlignment="1" applyProtection="1">
      <alignment vertical="center"/>
      <protection locked="0"/>
    </xf>
    <xf numFmtId="1" fontId="58" fillId="52" borderId="0" xfId="0" applyNumberFormat="1" applyFont="1" applyFill="1" applyBorder="1" applyAlignment="1" applyProtection="1">
      <alignment horizontal="left" vertical="center"/>
      <protection locked="0"/>
    </xf>
    <xf numFmtId="0" fontId="58" fillId="0" borderId="9" xfId="0" applyFont="1" applyFill="1" applyBorder="1" applyAlignment="1">
      <alignment vertical="center" wrapText="1"/>
    </xf>
    <xf numFmtId="183" fontId="0" fillId="52" borderId="0" xfId="0" applyNumberFormat="1" applyFont="1" applyFill="1" applyAlignment="1" applyProtection="1">
      <alignment horizontal="right" vertical="center"/>
      <protection locked="0"/>
    </xf>
    <xf numFmtId="183" fontId="55" fillId="52" borderId="0" xfId="0" applyNumberFormat="1" applyFont="1" applyFill="1" applyAlignment="1" applyProtection="1">
      <alignment horizontal="right" vertical="center"/>
      <protection locked="0"/>
    </xf>
    <xf numFmtId="183" fontId="4" fillId="53" borderId="9" xfId="0" applyNumberFormat="1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83" fontId="4" fillId="52" borderId="9" xfId="0" applyNumberFormat="1" applyFont="1" applyFill="1" applyBorder="1" applyAlignment="1" applyProtection="1">
      <alignment vertical="center" wrapText="1"/>
      <protection locked="0"/>
    </xf>
    <xf numFmtId="183" fontId="58" fillId="52" borderId="0" xfId="0" applyNumberFormat="1" applyFont="1" applyFill="1" applyBorder="1" applyAlignment="1" applyProtection="1">
      <alignment horizontal="right" vertical="center"/>
      <protection locked="0"/>
    </xf>
    <xf numFmtId="183" fontId="3" fillId="52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Alignment="1"/>
    <xf numFmtId="1" fontId="55" fillId="52" borderId="0" xfId="0" applyNumberFormat="1" applyFont="1" applyFill="1" applyAlignment="1" applyProtection="1">
      <alignment vertical="center"/>
      <protection locked="0"/>
    </xf>
    <xf numFmtId="4" fontId="55" fillId="52" borderId="0" xfId="0" applyNumberFormat="1" applyFont="1" applyFill="1" applyAlignment="1" applyProtection="1">
      <alignment vertical="center"/>
      <protection locked="0"/>
    </xf>
    <xf numFmtId="4" fontId="56" fillId="52" borderId="0" xfId="0" applyNumberFormat="1" applyFont="1" applyFill="1" applyAlignment="1" applyProtection="1">
      <alignment vertical="center"/>
      <protection locked="0"/>
    </xf>
    <xf numFmtId="1" fontId="4" fillId="53" borderId="9" xfId="0" applyNumberFormat="1" applyFont="1" applyFill="1" applyBorder="1" applyAlignment="1" applyProtection="1">
      <alignment vertical="center" wrapText="1"/>
      <protection locked="0"/>
    </xf>
    <xf numFmtId="0" fontId="4" fillId="53" borderId="9" xfId="0" applyFont="1" applyFill="1" applyBorder="1" applyAlignment="1" applyProtection="1">
      <alignment vertical="center" wrapText="1"/>
      <protection locked="0"/>
    </xf>
    <xf numFmtId="4" fontId="4" fillId="53" borderId="9" xfId="0" applyNumberFormat="1" applyFont="1" applyFill="1" applyBorder="1" applyAlignment="1" applyProtection="1">
      <alignment vertical="center" wrapText="1"/>
      <protection locked="0"/>
    </xf>
    <xf numFmtId="1" fontId="4" fillId="0" borderId="0" xfId="0" applyNumberFormat="1" applyFont="1" applyFill="1" applyBorder="1" applyAlignment="1" applyProtection="1">
      <alignment vertical="center" wrapText="1"/>
      <protection locked="0"/>
    </xf>
    <xf numFmtId="4" fontId="4" fillId="0" borderId="0" xfId="0" applyNumberFormat="1" applyFont="1" applyFill="1" applyBorder="1" applyAlignment="1" applyProtection="1">
      <alignment vertical="center" wrapText="1"/>
      <protection locked="0"/>
    </xf>
    <xf numFmtId="1" fontId="4" fillId="54" borderId="9" xfId="0" applyNumberFormat="1" applyFont="1" applyFill="1" applyBorder="1" applyAlignment="1" applyProtection="1">
      <alignment vertical="center" wrapText="1"/>
      <protection locked="0"/>
    </xf>
    <xf numFmtId="2" fontId="4" fillId="54" borderId="9" xfId="0" applyNumberFormat="1" applyFont="1" applyFill="1" applyBorder="1" applyAlignment="1" applyProtection="1">
      <alignment vertical="justify" wrapText="1"/>
      <protection locked="0"/>
    </xf>
    <xf numFmtId="2" fontId="4" fillId="54" borderId="9" xfId="0" applyNumberFormat="1" applyFont="1" applyFill="1" applyBorder="1" applyAlignment="1" applyProtection="1">
      <alignment vertical="center" wrapText="1"/>
      <protection locked="0"/>
    </xf>
    <xf numFmtId="4" fontId="4" fillId="54" borderId="9" xfId="0" applyNumberFormat="1" applyFont="1" applyFill="1" applyBorder="1" applyAlignment="1" applyProtection="1">
      <alignment vertical="center" wrapText="1"/>
      <protection locked="0"/>
    </xf>
    <xf numFmtId="1" fontId="4" fillId="52" borderId="22" xfId="0" applyNumberFormat="1" applyFont="1" applyFill="1" applyBorder="1" applyAlignment="1" applyProtection="1">
      <alignment vertical="center" wrapText="1"/>
      <protection locked="0"/>
    </xf>
    <xf numFmtId="2" fontId="4" fillId="52" borderId="22" xfId="0" applyNumberFormat="1" applyFont="1" applyFill="1" applyBorder="1" applyAlignment="1" applyProtection="1">
      <alignment vertical="justify" wrapText="1"/>
      <protection locked="0"/>
    </xf>
    <xf numFmtId="2" fontId="4" fillId="52" borderId="22" xfId="0" applyNumberFormat="1" applyFont="1" applyFill="1" applyBorder="1" applyAlignment="1" applyProtection="1">
      <alignment vertical="center" wrapText="1"/>
      <protection locked="0"/>
    </xf>
    <xf numFmtId="4" fontId="4" fillId="52" borderId="22" xfId="0" applyNumberFormat="1" applyFont="1" applyFill="1" applyBorder="1" applyAlignment="1" applyProtection="1">
      <alignment vertical="center" wrapText="1"/>
      <protection locked="0"/>
    </xf>
    <xf numFmtId="1" fontId="57" fillId="52" borderId="9" xfId="0" applyNumberFormat="1" applyFont="1" applyFill="1" applyBorder="1" applyAlignment="1" applyProtection="1">
      <alignment vertical="center" wrapText="1"/>
      <protection locked="0"/>
    </xf>
    <xf numFmtId="2" fontId="57" fillId="52" borderId="9" xfId="0" applyNumberFormat="1" applyFont="1" applyFill="1" applyBorder="1" applyAlignment="1" applyProtection="1">
      <alignment vertical="justify" wrapText="1"/>
      <protection locked="0"/>
    </xf>
    <xf numFmtId="2" fontId="57" fillId="52" borderId="9" xfId="0" applyNumberFormat="1" applyFont="1" applyFill="1" applyBorder="1" applyAlignment="1" applyProtection="1">
      <alignment vertical="center" wrapText="1"/>
      <protection locked="0"/>
    </xf>
    <xf numFmtId="183" fontId="57" fillId="52" borderId="9" xfId="0" applyNumberFormat="1" applyFont="1" applyFill="1" applyBorder="1" applyAlignment="1" applyProtection="1">
      <alignment vertical="center" wrapText="1"/>
      <protection locked="0"/>
    </xf>
    <xf numFmtId="4" fontId="57" fillId="52" borderId="9" xfId="0" applyNumberFormat="1" applyFont="1" applyFill="1" applyBorder="1" applyAlignment="1" applyProtection="1">
      <alignment vertical="center" wrapText="1"/>
      <protection locked="0"/>
    </xf>
    <xf numFmtId="1" fontId="4" fillId="52" borderId="9" xfId="0" applyNumberFormat="1" applyFont="1" applyFill="1" applyBorder="1" applyAlignment="1" applyProtection="1">
      <alignment vertical="center" wrapText="1"/>
      <protection locked="0"/>
    </xf>
    <xf numFmtId="2" fontId="4" fillId="52" borderId="9" xfId="0" applyNumberFormat="1" applyFont="1" applyFill="1" applyBorder="1" applyAlignment="1" applyProtection="1">
      <alignment vertical="justify" wrapText="1"/>
      <protection locked="0"/>
    </xf>
    <xf numFmtId="2" fontId="4" fillId="52" borderId="9" xfId="0" applyNumberFormat="1" applyFont="1" applyFill="1" applyBorder="1" applyAlignment="1" applyProtection="1">
      <alignment vertical="center" wrapText="1"/>
      <protection locked="0"/>
    </xf>
    <xf numFmtId="4" fontId="4" fillId="52" borderId="9" xfId="0" applyNumberFormat="1" applyFont="1" applyFill="1" applyBorder="1" applyAlignment="1" applyProtection="1">
      <alignment vertical="center" wrapText="1"/>
      <protection locked="0"/>
    </xf>
    <xf numFmtId="1" fontId="4" fillId="52" borderId="19" xfId="0" applyNumberFormat="1" applyFont="1" applyFill="1" applyBorder="1" applyAlignment="1" applyProtection="1">
      <alignment vertical="center"/>
      <protection locked="0"/>
    </xf>
    <xf numFmtId="1" fontId="4" fillId="52" borderId="20" xfId="0" applyNumberFormat="1" applyFont="1" applyFill="1" applyBorder="1" applyAlignment="1" applyProtection="1">
      <alignment vertical="center"/>
      <protection locked="0"/>
    </xf>
    <xf numFmtId="183" fontId="4" fillId="52" borderId="19" xfId="0" applyNumberFormat="1" applyFont="1" applyFill="1" applyBorder="1" applyAlignment="1" applyProtection="1">
      <alignment vertical="center"/>
      <protection locked="0"/>
    </xf>
    <xf numFmtId="4" fontId="4" fillId="52" borderId="21" xfId="0" applyNumberFormat="1" applyFont="1" applyFill="1" applyBorder="1" applyAlignment="1" applyProtection="1">
      <alignment vertical="center"/>
      <protection locked="0"/>
    </xf>
    <xf numFmtId="4" fontId="4" fillId="53" borderId="9" xfId="0" applyNumberFormat="1" applyFont="1" applyFill="1" applyBorder="1" applyAlignment="1" applyProtection="1">
      <alignment vertical="center"/>
      <protection locked="0"/>
    </xf>
    <xf numFmtId="183" fontId="4" fillId="54" borderId="9" xfId="0" applyNumberFormat="1" applyFont="1" applyFill="1" applyBorder="1" applyAlignment="1" applyProtection="1">
      <alignment vertical="center" wrapText="1"/>
      <protection locked="0"/>
    </xf>
    <xf numFmtId="1" fontId="4" fillId="0" borderId="9" xfId="0" applyNumberFormat="1" applyFont="1" applyFill="1" applyBorder="1" applyAlignment="1" applyProtection="1">
      <alignment vertical="center" wrapText="1"/>
      <protection locked="0"/>
    </xf>
    <xf numFmtId="2" fontId="4" fillId="0" borderId="9" xfId="0" applyNumberFormat="1" applyFont="1" applyFill="1" applyBorder="1" applyAlignment="1" applyProtection="1">
      <alignment vertical="justify" wrapText="1"/>
      <protection locked="0"/>
    </xf>
    <xf numFmtId="2" fontId="4" fillId="0" borderId="9" xfId="0" applyNumberFormat="1" applyFont="1" applyFill="1" applyBorder="1" applyAlignment="1" applyProtection="1">
      <alignment vertical="center" wrapText="1"/>
      <protection locked="0"/>
    </xf>
    <xf numFmtId="183" fontId="4" fillId="0" borderId="9" xfId="0" applyNumberFormat="1" applyFont="1" applyFill="1" applyBorder="1" applyAlignment="1" applyProtection="1">
      <alignment vertical="center" wrapText="1"/>
      <protection locked="0"/>
    </xf>
    <xf numFmtId="4" fontId="4" fillId="0" borderId="9" xfId="0" applyNumberFormat="1" applyFont="1" applyFill="1" applyBorder="1" applyAlignment="1" applyProtection="1">
      <alignment vertical="center" wrapText="1"/>
      <protection locked="0"/>
    </xf>
    <xf numFmtId="183" fontId="57" fillId="52" borderId="19" xfId="0" applyNumberFormat="1" applyFont="1" applyFill="1" applyBorder="1" applyAlignment="1" applyProtection="1">
      <alignment vertical="center" wrapText="1"/>
      <protection locked="0"/>
    </xf>
    <xf numFmtId="1" fontId="57" fillId="0" borderId="9" xfId="0" applyNumberFormat="1" applyFont="1" applyFill="1" applyBorder="1" applyAlignment="1" applyProtection="1">
      <alignment vertical="center" wrapText="1"/>
      <protection locked="0"/>
    </xf>
    <xf numFmtId="2" fontId="57" fillId="0" borderId="9" xfId="0" applyNumberFormat="1" applyFont="1" applyFill="1" applyBorder="1" applyAlignment="1" applyProtection="1">
      <alignment vertical="justify" wrapText="1"/>
      <protection locked="0"/>
    </xf>
    <xf numFmtId="2" fontId="57" fillId="0" borderId="9" xfId="0" applyNumberFormat="1" applyFont="1" applyFill="1" applyBorder="1" applyAlignment="1" applyProtection="1">
      <alignment vertical="center" wrapText="1"/>
      <protection locked="0"/>
    </xf>
    <xf numFmtId="183" fontId="57" fillId="0" borderId="9" xfId="0" applyNumberFormat="1" applyFont="1" applyFill="1" applyBorder="1" applyAlignment="1" applyProtection="1">
      <alignment vertical="center" wrapText="1"/>
      <protection locked="0"/>
    </xf>
    <xf numFmtId="4" fontId="57" fillId="0" borderId="9" xfId="0" applyNumberFormat="1" applyFont="1" applyFill="1" applyBorder="1" applyAlignment="1" applyProtection="1">
      <alignment vertical="center" wrapText="1"/>
      <protection locked="0"/>
    </xf>
    <xf numFmtId="2" fontId="64" fillId="52" borderId="9" xfId="0" applyNumberFormat="1" applyFont="1" applyFill="1" applyBorder="1" applyAlignment="1" applyProtection="1">
      <alignment vertical="justify" wrapText="1"/>
      <protection locked="0"/>
    </xf>
    <xf numFmtId="4" fontId="4" fillId="52" borderId="19" xfId="0" applyNumberFormat="1" applyFont="1" applyFill="1" applyBorder="1" applyAlignment="1" applyProtection="1">
      <alignment vertical="center"/>
      <protection locked="0"/>
    </xf>
    <xf numFmtId="1" fontId="4" fillId="52" borderId="21" xfId="0" applyNumberFormat="1" applyFont="1" applyFill="1" applyBorder="1" applyAlignment="1" applyProtection="1">
      <alignment vertical="center"/>
      <protection locked="0"/>
    </xf>
    <xf numFmtId="165" fontId="0" fillId="0" borderId="0" xfId="827" applyFont="1" applyAlignment="1"/>
    <xf numFmtId="165" fontId="0" fillId="0" borderId="0" xfId="0" applyNumberFormat="1" applyAlignment="1"/>
    <xf numFmtId="0" fontId="52" fillId="0" borderId="0" xfId="0" applyFont="1" applyAlignment="1">
      <alignment horizontal="right"/>
    </xf>
    <xf numFmtId="165" fontId="52" fillId="0" borderId="0" xfId="827" applyFont="1" applyAlignment="1"/>
    <xf numFmtId="165" fontId="52" fillId="0" borderId="0" xfId="0" applyNumberFormat="1" applyFont="1" applyAlignment="1"/>
    <xf numFmtId="1" fontId="4" fillId="52" borderId="20" xfId="0" applyNumberFormat="1" applyFont="1" applyFill="1" applyBorder="1" applyAlignment="1" applyProtection="1">
      <alignment vertical="center" wrapText="1"/>
      <protection locked="0"/>
    </xf>
    <xf numFmtId="1" fontId="4" fillId="52" borderId="19" xfId="0" applyNumberFormat="1" applyFont="1" applyFill="1" applyBorder="1" applyAlignment="1" applyProtection="1">
      <alignment vertical="center" wrapText="1"/>
      <protection locked="0"/>
    </xf>
    <xf numFmtId="1" fontId="4" fillId="52" borderId="21" xfId="0" applyNumberFormat="1" applyFont="1" applyFill="1" applyBorder="1" applyAlignment="1" applyProtection="1">
      <alignment vertical="center" wrapText="1"/>
      <protection locked="0"/>
    </xf>
    <xf numFmtId="1" fontId="55" fillId="52" borderId="0" xfId="0" applyNumberFormat="1" applyFont="1" applyFill="1" applyAlignment="1" applyProtection="1">
      <alignment horizontal="center" vertical="center"/>
      <protection locked="0"/>
    </xf>
    <xf numFmtId="1" fontId="4" fillId="58" borderId="20" xfId="0" applyNumberFormat="1" applyFont="1" applyFill="1" applyBorder="1" applyAlignment="1" applyProtection="1">
      <alignment horizontal="right" vertical="center"/>
      <protection locked="0"/>
    </xf>
    <xf numFmtId="1" fontId="58" fillId="52" borderId="0" xfId="0" applyNumberFormat="1" applyFont="1" applyFill="1" applyBorder="1" applyAlignment="1" applyProtection="1">
      <alignment horizontal="left" vertical="center"/>
      <protection locked="0"/>
    </xf>
    <xf numFmtId="9" fontId="0" fillId="0" borderId="0" xfId="829" applyFont="1" applyAlignment="1"/>
    <xf numFmtId="9" fontId="52" fillId="0" borderId="0" xfId="829" applyFont="1" applyAlignment="1"/>
    <xf numFmtId="10" fontId="0" fillId="0" borderId="0" xfId="829" applyNumberFormat="1" applyFont="1" applyAlignment="1"/>
    <xf numFmtId="10" fontId="52" fillId="0" borderId="0" xfId="829" applyNumberFormat="1" applyFont="1" applyAlignment="1"/>
    <xf numFmtId="10" fontId="0" fillId="0" borderId="0" xfId="829" applyNumberFormat="1" applyFont="1"/>
    <xf numFmtId="166" fontId="0" fillId="0" borderId="0" xfId="828" applyFont="1" applyAlignment="1"/>
    <xf numFmtId="2" fontId="57" fillId="52" borderId="9" xfId="0" applyNumberFormat="1" applyFont="1" applyFill="1" applyBorder="1" applyAlignment="1" applyProtection="1">
      <alignment horizontal="left" vertical="center" wrapText="1"/>
      <protection locked="0"/>
    </xf>
    <xf numFmtId="2" fontId="57" fillId="60" borderId="9" xfId="0" applyNumberFormat="1" applyFont="1" applyFill="1" applyBorder="1" applyAlignment="1" applyProtection="1">
      <alignment vertical="justify" wrapText="1"/>
      <protection locked="0"/>
    </xf>
    <xf numFmtId="2" fontId="57" fillId="60" borderId="9" xfId="0" applyNumberFormat="1" applyFont="1" applyFill="1" applyBorder="1" applyAlignment="1" applyProtection="1">
      <alignment vertical="center" wrapText="1"/>
      <protection locked="0"/>
    </xf>
    <xf numFmtId="183" fontId="57" fillId="60" borderId="9" xfId="0" applyNumberFormat="1" applyFont="1" applyFill="1" applyBorder="1" applyAlignment="1" applyProtection="1">
      <alignment vertical="center" wrapText="1"/>
      <protection locked="0"/>
    </xf>
    <xf numFmtId="4" fontId="57" fillId="60" borderId="9" xfId="0" applyNumberFormat="1" applyFont="1" applyFill="1" applyBorder="1" applyAlignment="1" applyProtection="1">
      <alignment vertical="center" wrapText="1"/>
      <protection locked="0"/>
    </xf>
    <xf numFmtId="165" fontId="0" fillId="61" borderId="0" xfId="827" applyFont="1" applyFill="1" applyAlignment="1"/>
    <xf numFmtId="165" fontId="0" fillId="61" borderId="0" xfId="0" applyNumberFormat="1" applyFill="1" applyAlignment="1"/>
    <xf numFmtId="1" fontId="57" fillId="52" borderId="23" xfId="0" applyNumberFormat="1" applyFont="1" applyFill="1" applyBorder="1" applyAlignment="1" applyProtection="1">
      <alignment vertical="center" wrapText="1"/>
      <protection locked="0"/>
    </xf>
    <xf numFmtId="2" fontId="57" fillId="52" borderId="23" xfId="0" applyNumberFormat="1" applyFont="1" applyFill="1" applyBorder="1" applyAlignment="1" applyProtection="1">
      <alignment vertical="justify" wrapText="1"/>
      <protection locked="0"/>
    </xf>
    <xf numFmtId="2" fontId="57" fillId="52" borderId="23" xfId="0" applyNumberFormat="1" applyFont="1" applyFill="1" applyBorder="1" applyAlignment="1" applyProtection="1">
      <alignment vertical="center" wrapText="1"/>
      <protection locked="0"/>
    </xf>
    <xf numFmtId="183" fontId="57" fillId="52" borderId="23" xfId="0" applyNumberFormat="1" applyFont="1" applyFill="1" applyBorder="1" applyAlignment="1" applyProtection="1">
      <alignment vertical="center" wrapText="1"/>
      <protection locked="0"/>
    </xf>
    <xf numFmtId="4" fontId="57" fillId="52" borderId="23" xfId="0" applyNumberFormat="1" applyFont="1" applyFill="1" applyBorder="1" applyAlignment="1" applyProtection="1">
      <alignment vertical="center" wrapText="1"/>
      <protection locked="0"/>
    </xf>
    <xf numFmtId="183" fontId="4" fillId="52" borderId="22" xfId="0" applyNumberFormat="1" applyFont="1" applyFill="1" applyBorder="1" applyAlignment="1" applyProtection="1">
      <alignment vertical="center" wrapText="1"/>
      <protection locked="0"/>
    </xf>
    <xf numFmtId="1" fontId="57" fillId="52" borderId="0" xfId="0" applyNumberFormat="1" applyFont="1" applyFill="1" applyBorder="1" applyAlignment="1" applyProtection="1">
      <alignment vertical="center" wrapText="1"/>
      <protection locked="0"/>
    </xf>
    <xf numFmtId="2" fontId="57" fillId="52" borderId="0" xfId="0" applyNumberFormat="1" applyFont="1" applyFill="1" applyBorder="1" applyAlignment="1" applyProtection="1">
      <alignment vertical="justify" wrapText="1"/>
      <protection locked="0"/>
    </xf>
    <xf numFmtId="2" fontId="57" fillId="52" borderId="0" xfId="0" applyNumberFormat="1" applyFont="1" applyFill="1" applyBorder="1" applyAlignment="1" applyProtection="1">
      <alignment vertical="center" wrapText="1"/>
      <protection locked="0"/>
    </xf>
    <xf numFmtId="183" fontId="57" fillId="52" borderId="0" xfId="0" applyNumberFormat="1" applyFont="1" applyFill="1" applyBorder="1" applyAlignment="1" applyProtection="1">
      <alignment vertical="center" wrapText="1"/>
      <protection locked="0"/>
    </xf>
    <xf numFmtId="1" fontId="4" fillId="60" borderId="9" xfId="0" applyNumberFormat="1" applyFont="1" applyFill="1" applyBorder="1" applyAlignment="1" applyProtection="1">
      <alignment vertical="center" wrapText="1"/>
      <protection locked="0"/>
    </xf>
    <xf numFmtId="2" fontId="4" fillId="60" borderId="9" xfId="0" applyNumberFormat="1" applyFont="1" applyFill="1" applyBorder="1" applyAlignment="1" applyProtection="1">
      <alignment vertical="justify" wrapText="1"/>
      <protection locked="0"/>
    </xf>
    <xf numFmtId="2" fontId="4" fillId="60" borderId="9" xfId="0" applyNumberFormat="1" applyFont="1" applyFill="1" applyBorder="1" applyAlignment="1" applyProtection="1">
      <alignment vertical="center" wrapText="1"/>
      <protection locked="0"/>
    </xf>
    <xf numFmtId="183" fontId="4" fillId="60" borderId="9" xfId="0" applyNumberFormat="1" applyFont="1" applyFill="1" applyBorder="1" applyAlignment="1" applyProtection="1">
      <alignment vertical="center" wrapText="1"/>
      <protection locked="0"/>
    </xf>
    <xf numFmtId="4" fontId="4" fillId="60" borderId="9" xfId="0" applyNumberFormat="1" applyFont="1" applyFill="1" applyBorder="1" applyAlignment="1" applyProtection="1">
      <alignment vertical="center" wrapText="1"/>
      <protection locked="0"/>
    </xf>
    <xf numFmtId="2" fontId="4" fillId="62" borderId="22" xfId="0" applyNumberFormat="1" applyFont="1" applyFill="1" applyBorder="1" applyAlignment="1" applyProtection="1">
      <alignment vertical="justify" wrapText="1"/>
      <protection locked="0"/>
    </xf>
    <xf numFmtId="165" fontId="0" fillId="0" borderId="0" xfId="0" applyNumberFormat="1" applyBorder="1" applyAlignment="1"/>
    <xf numFmtId="10" fontId="0" fillId="0" borderId="0" xfId="829" applyNumberFormat="1" applyFont="1" applyBorder="1" applyAlignment="1"/>
    <xf numFmtId="166" fontId="0" fillId="0" borderId="0" xfId="828" applyFont="1" applyBorder="1" applyAlignment="1"/>
    <xf numFmtId="1" fontId="4" fillId="60" borderId="22" xfId="0" applyNumberFormat="1" applyFont="1" applyFill="1" applyBorder="1" applyAlignment="1" applyProtection="1">
      <alignment vertical="center" wrapText="1"/>
      <protection locked="0"/>
    </xf>
    <xf numFmtId="2" fontId="4" fillId="60" borderId="22" xfId="0" applyNumberFormat="1" applyFont="1" applyFill="1" applyBorder="1" applyAlignment="1" applyProtection="1">
      <alignment vertical="justify" wrapText="1"/>
      <protection locked="0"/>
    </xf>
    <xf numFmtId="2" fontId="4" fillId="60" borderId="22" xfId="0" applyNumberFormat="1" applyFont="1" applyFill="1" applyBorder="1" applyAlignment="1" applyProtection="1">
      <alignment vertical="center" wrapText="1"/>
      <protection locked="0"/>
    </xf>
    <xf numFmtId="183" fontId="4" fillId="60" borderId="22" xfId="0" applyNumberFormat="1" applyFont="1" applyFill="1" applyBorder="1" applyAlignment="1" applyProtection="1">
      <alignment vertical="center" wrapText="1"/>
      <protection locked="0"/>
    </xf>
    <xf numFmtId="4" fontId="4" fillId="60" borderId="22" xfId="0" applyNumberFormat="1" applyFont="1" applyFill="1" applyBorder="1" applyAlignment="1" applyProtection="1">
      <alignment vertical="center" wrapText="1"/>
      <protection locked="0"/>
    </xf>
    <xf numFmtId="166" fontId="0" fillId="0" borderId="0" xfId="0" applyNumberFormat="1" applyAlignment="1"/>
    <xf numFmtId="10" fontId="57" fillId="52" borderId="9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0" xfId="0" applyNumberFormat="1" applyAlignment="1">
      <alignment horizontal="center" vertical="center"/>
    </xf>
    <xf numFmtId="165" fontId="52" fillId="0" borderId="24" xfId="0" applyNumberFormat="1" applyFont="1" applyBorder="1" applyAlignment="1"/>
    <xf numFmtId="166" fontId="0" fillId="0" borderId="25" xfId="828" applyFont="1" applyBorder="1" applyAlignment="1"/>
    <xf numFmtId="1" fontId="57" fillId="63" borderId="0" xfId="0" applyNumberFormat="1" applyFont="1" applyFill="1" applyBorder="1" applyAlignment="1" applyProtection="1">
      <alignment vertical="center" wrapText="1"/>
      <protection locked="0"/>
    </xf>
    <xf numFmtId="2" fontId="57" fillId="63" borderId="0" xfId="0" applyNumberFormat="1" applyFont="1" applyFill="1" applyBorder="1" applyAlignment="1" applyProtection="1">
      <alignment vertical="justify" wrapText="1"/>
      <protection locked="0"/>
    </xf>
    <xf numFmtId="2" fontId="57" fillId="63" borderId="0" xfId="0" applyNumberFormat="1" applyFont="1" applyFill="1" applyBorder="1" applyAlignment="1" applyProtection="1">
      <alignment vertical="center" wrapText="1"/>
      <protection locked="0"/>
    </xf>
    <xf numFmtId="183" fontId="57" fillId="63" borderId="0" xfId="0" applyNumberFormat="1" applyFont="1" applyFill="1" applyBorder="1" applyAlignment="1" applyProtection="1">
      <alignment vertical="center" wrapText="1"/>
      <protection locked="0"/>
    </xf>
    <xf numFmtId="4" fontId="57" fillId="63" borderId="0" xfId="0" applyNumberFormat="1" applyFont="1" applyFill="1" applyBorder="1" applyAlignment="1" applyProtection="1">
      <alignment vertical="center" wrapText="1"/>
      <protection locked="0"/>
    </xf>
    <xf numFmtId="165" fontId="52" fillId="64" borderId="0" xfId="0" applyNumberFormat="1" applyFont="1" applyFill="1" applyBorder="1" applyAlignment="1"/>
    <xf numFmtId="10" fontId="0" fillId="64" borderId="0" xfId="829" applyNumberFormat="1" applyFont="1" applyFill="1" applyBorder="1" applyAlignment="1"/>
    <xf numFmtId="166" fontId="0" fillId="64" borderId="0" xfId="828" applyFont="1" applyFill="1" applyBorder="1" applyAlignment="1"/>
    <xf numFmtId="0" fontId="0" fillId="64" borderId="0" xfId="0" applyFill="1" applyBorder="1"/>
    <xf numFmtId="10" fontId="0" fillId="64" borderId="0" xfId="829" applyNumberFormat="1" applyFont="1" applyFill="1" applyBorder="1"/>
    <xf numFmtId="165" fontId="52" fillId="0" borderId="26" xfId="0" applyNumberFormat="1" applyFont="1" applyBorder="1" applyAlignment="1"/>
    <xf numFmtId="9" fontId="52" fillId="0" borderId="0" xfId="829" applyFont="1" applyBorder="1" applyAlignment="1"/>
    <xf numFmtId="166" fontId="52" fillId="64" borderId="0" xfId="828" applyFont="1" applyFill="1" applyBorder="1" applyAlignment="1"/>
    <xf numFmtId="0" fontId="52" fillId="0" borderId="9" xfId="0" applyFont="1" applyBorder="1" applyAlignment="1">
      <alignment horizontal="right"/>
    </xf>
    <xf numFmtId="165" fontId="0" fillId="0" borderId="9" xfId="0" applyNumberFormat="1" applyBorder="1" applyAlignment="1">
      <alignment horizontal="center" vertical="center"/>
    </xf>
    <xf numFmtId="166" fontId="0" fillId="0" borderId="9" xfId="828" applyFont="1" applyBorder="1" applyAlignment="1"/>
    <xf numFmtId="166" fontId="52" fillId="0" borderId="9" xfId="828" applyFont="1" applyBorder="1" applyAlignment="1"/>
    <xf numFmtId="165" fontId="0" fillId="64" borderId="0" xfId="827" applyFont="1" applyFill="1" applyAlignment="1"/>
    <xf numFmtId="165" fontId="0" fillId="64" borderId="0" xfId="0" applyNumberFormat="1" applyFill="1" applyAlignment="1"/>
    <xf numFmtId="10" fontId="0" fillId="64" borderId="0" xfId="829" applyNumberFormat="1" applyFont="1" applyFill="1" applyAlignment="1"/>
    <xf numFmtId="166" fontId="52" fillId="0" borderId="0" xfId="828" applyFont="1" applyAlignment="1"/>
    <xf numFmtId="166" fontId="0" fillId="0" borderId="0" xfId="0" applyNumberFormat="1"/>
    <xf numFmtId="0" fontId="1" fillId="64" borderId="0" xfId="830" applyFill="1"/>
    <xf numFmtId="0" fontId="66" fillId="52" borderId="0" xfId="830" applyFont="1" applyFill="1" applyAlignment="1" applyProtection="1">
      <alignment horizontal="center" vertical="center"/>
      <protection locked="0"/>
    </xf>
    <xf numFmtId="184" fontId="3" fillId="52" borderId="0" xfId="830" applyNumberFormat="1" applyFont="1" applyFill="1" applyAlignment="1" applyProtection="1">
      <alignment horizontal="right" vertical="center"/>
      <protection locked="0"/>
    </xf>
    <xf numFmtId="0" fontId="3" fillId="52" borderId="0" xfId="830" applyFont="1" applyFill="1" applyAlignment="1" applyProtection="1">
      <alignment vertical="center"/>
      <protection locked="0"/>
    </xf>
    <xf numFmtId="0" fontId="4" fillId="65" borderId="23" xfId="830" applyFont="1" applyFill="1" applyBorder="1" applyAlignment="1" applyProtection="1">
      <alignment horizontal="center" vertical="center" wrapText="1"/>
      <protection locked="0"/>
    </xf>
    <xf numFmtId="184" fontId="4" fillId="65" borderId="23" xfId="830" applyNumberFormat="1" applyFont="1" applyFill="1" applyBorder="1" applyAlignment="1" applyProtection="1">
      <alignment horizontal="center" vertical="center" wrapText="1"/>
      <protection locked="0"/>
    </xf>
    <xf numFmtId="1" fontId="4" fillId="59" borderId="9" xfId="830" applyNumberFormat="1" applyFont="1" applyFill="1" applyBorder="1" applyAlignment="1" applyProtection="1">
      <alignment horizontal="center" vertical="center" wrapText="1"/>
      <protection locked="0"/>
    </xf>
    <xf numFmtId="0" fontId="4" fillId="59" borderId="23" xfId="830" applyFont="1" applyFill="1" applyBorder="1" applyAlignment="1" applyProtection="1">
      <alignment horizontal="center" vertical="center" wrapText="1"/>
      <protection locked="0"/>
    </xf>
    <xf numFmtId="4" fontId="4" fillId="59" borderId="23" xfId="830" applyNumberFormat="1" applyFont="1" applyFill="1" applyBorder="1" applyAlignment="1" applyProtection="1">
      <alignment horizontal="center" vertical="center" wrapText="1"/>
      <protection locked="0"/>
    </xf>
    <xf numFmtId="1" fontId="69" fillId="66" borderId="20" xfId="830" applyNumberFormat="1" applyFont="1" applyFill="1" applyBorder="1" applyAlignment="1" applyProtection="1">
      <alignment horizontal="center" vertical="center" wrapText="1"/>
      <protection locked="0"/>
    </xf>
    <xf numFmtId="185" fontId="69" fillId="66" borderId="20" xfId="830" applyNumberFormat="1" applyFont="1" applyFill="1" applyBorder="1" applyAlignment="1" applyProtection="1">
      <alignment horizontal="left" vertical="center"/>
      <protection locked="0"/>
    </xf>
    <xf numFmtId="185" fontId="69" fillId="66" borderId="19" xfId="830" applyNumberFormat="1" applyFont="1" applyFill="1" applyBorder="1" applyAlignment="1" applyProtection="1">
      <alignment horizontal="center" vertical="center" wrapText="1"/>
      <protection locked="0"/>
    </xf>
    <xf numFmtId="10" fontId="6" fillId="66" borderId="9" xfId="831" applyNumberFormat="1" applyFill="1" applyBorder="1" applyAlignment="1" applyProtection="1">
      <alignment horizontal="center" vertical="center" wrapText="1"/>
      <protection locked="0"/>
    </xf>
    <xf numFmtId="164" fontId="6" fillId="66" borderId="9" xfId="831" applyNumberFormat="1" applyFill="1" applyBorder="1" applyAlignment="1" applyProtection="1">
      <alignment horizontal="center" vertical="center" wrapText="1"/>
      <protection locked="0"/>
    </xf>
    <xf numFmtId="1" fontId="69" fillId="0" borderId="9" xfId="830" applyNumberFormat="1" applyFont="1" applyBorder="1" applyAlignment="1" applyProtection="1">
      <alignment horizontal="center" vertical="center" wrapText="1"/>
      <protection locked="0"/>
    </xf>
    <xf numFmtId="185" fontId="69" fillId="0" borderId="22" xfId="830" applyNumberFormat="1" applyFont="1" applyBorder="1" applyAlignment="1" applyProtection="1">
      <alignment horizontal="center" vertical="center" wrapText="1"/>
      <protection locked="0"/>
    </xf>
    <xf numFmtId="10" fontId="6" fillId="0" borderId="22" xfId="831" applyNumberFormat="1" applyFill="1" applyBorder="1" applyAlignment="1" applyProtection="1">
      <alignment horizontal="center" vertical="center" wrapText="1"/>
      <protection locked="0"/>
    </xf>
    <xf numFmtId="164" fontId="6" fillId="0" borderId="22" xfId="831" applyNumberFormat="1" applyFill="1" applyBorder="1" applyAlignment="1" applyProtection="1">
      <alignment horizontal="center" vertical="center" wrapText="1"/>
      <protection locked="0"/>
    </xf>
    <xf numFmtId="0" fontId="1" fillId="0" borderId="0" xfId="830"/>
    <xf numFmtId="186" fontId="1" fillId="0" borderId="0" xfId="830" applyNumberFormat="1"/>
    <xf numFmtId="185" fontId="69" fillId="0" borderId="9" xfId="830" applyNumberFormat="1" applyFont="1" applyBorder="1" applyAlignment="1" applyProtection="1">
      <alignment horizontal="center" vertical="center" wrapText="1"/>
      <protection locked="0"/>
    </xf>
    <xf numFmtId="10" fontId="6" fillId="0" borderId="9" xfId="831" applyNumberFormat="1" applyFill="1" applyBorder="1" applyAlignment="1" applyProtection="1">
      <alignment horizontal="center" vertical="center" wrapText="1"/>
      <protection locked="0"/>
    </xf>
    <xf numFmtId="164" fontId="6" fillId="0" borderId="9" xfId="831" applyNumberFormat="1" applyFill="1" applyBorder="1" applyAlignment="1" applyProtection="1">
      <alignment horizontal="center" vertical="center" wrapText="1"/>
      <protection locked="0"/>
    </xf>
    <xf numFmtId="10" fontId="1" fillId="64" borderId="0" xfId="579" applyNumberFormat="1" applyFont="1" applyFill="1"/>
    <xf numFmtId="185" fontId="69" fillId="0" borderId="23" xfId="830" applyNumberFormat="1" applyFont="1" applyBorder="1" applyAlignment="1" applyProtection="1">
      <alignment horizontal="center" vertical="center" wrapText="1"/>
      <protection locked="0"/>
    </xf>
    <xf numFmtId="1" fontId="69" fillId="63" borderId="9" xfId="830" applyNumberFormat="1" applyFont="1" applyFill="1" applyBorder="1" applyAlignment="1" applyProtection="1">
      <alignment horizontal="center" vertical="center" wrapText="1"/>
      <protection locked="0"/>
    </xf>
    <xf numFmtId="185" fontId="69" fillId="63" borderId="23" xfId="830" applyNumberFormat="1" applyFont="1" applyFill="1" applyBorder="1" applyAlignment="1" applyProtection="1">
      <alignment horizontal="center" vertical="center" wrapText="1"/>
      <protection locked="0"/>
    </xf>
    <xf numFmtId="10" fontId="6" fillId="63" borderId="9" xfId="831" applyNumberFormat="1" applyFill="1" applyBorder="1" applyAlignment="1" applyProtection="1">
      <alignment horizontal="center" vertical="center" wrapText="1"/>
      <protection locked="0"/>
    </xf>
    <xf numFmtId="164" fontId="6" fillId="63" borderId="9" xfId="831" applyNumberFormat="1" applyFill="1" applyBorder="1" applyAlignment="1" applyProtection="1">
      <alignment horizontal="center" vertical="center" wrapText="1"/>
      <protection locked="0"/>
    </xf>
    <xf numFmtId="164" fontId="6" fillId="63" borderId="22" xfId="831" applyNumberFormat="1" applyFill="1" applyBorder="1" applyAlignment="1" applyProtection="1">
      <alignment horizontal="center" vertical="center" wrapText="1"/>
      <protection locked="0"/>
    </xf>
    <xf numFmtId="49" fontId="69" fillId="67" borderId="20" xfId="832" applyNumberFormat="1" applyFont="1" applyFill="1" applyBorder="1" applyAlignment="1">
      <alignment horizontal="center" vertical="center" wrapText="1"/>
    </xf>
    <xf numFmtId="185" fontId="69" fillId="59" borderId="19" xfId="830" applyNumberFormat="1" applyFont="1" applyFill="1" applyBorder="1" applyAlignment="1" applyProtection="1">
      <alignment horizontal="center" vertical="center" wrapText="1"/>
      <protection locked="0"/>
    </xf>
    <xf numFmtId="185" fontId="69" fillId="59" borderId="21" xfId="830" applyNumberFormat="1" applyFont="1" applyFill="1" applyBorder="1" applyAlignment="1" applyProtection="1">
      <alignment horizontal="right" vertical="center" wrapText="1"/>
      <protection locked="0"/>
    </xf>
    <xf numFmtId="10" fontId="70" fillId="59" borderId="19" xfId="831" applyNumberFormat="1" applyFont="1" applyFill="1" applyBorder="1" applyAlignment="1" applyProtection="1">
      <alignment horizontal="center" vertical="center" wrapText="1"/>
      <protection locked="0"/>
    </xf>
    <xf numFmtId="164" fontId="6" fillId="59" borderId="20" xfId="831" applyNumberFormat="1" applyFill="1" applyBorder="1" applyAlignment="1" applyProtection="1">
      <alignment horizontal="center" vertical="center" wrapText="1"/>
      <protection locked="0"/>
    </xf>
    <xf numFmtId="164" fontId="6" fillId="59" borderId="9" xfId="831" applyNumberFormat="1" applyFill="1" applyBorder="1" applyAlignment="1" applyProtection="1">
      <alignment horizontal="center" vertical="center" wrapText="1"/>
      <protection locked="0"/>
    </xf>
    <xf numFmtId="184" fontId="1" fillId="0" borderId="0" xfId="830" applyNumberFormat="1"/>
    <xf numFmtId="1" fontId="57" fillId="52" borderId="20" xfId="0" applyNumberFormat="1" applyFont="1" applyFill="1" applyBorder="1" applyAlignment="1" applyProtection="1">
      <alignment horizontal="center" vertical="center" wrapText="1"/>
      <protection locked="0"/>
    </xf>
    <xf numFmtId="2" fontId="57" fillId="52" borderId="19" xfId="0" applyNumberFormat="1" applyFont="1" applyFill="1" applyBorder="1" applyAlignment="1" applyProtection="1">
      <alignment horizontal="left" vertical="justify" wrapText="1"/>
      <protection locked="0"/>
    </xf>
    <xf numFmtId="165" fontId="4" fillId="52" borderId="0" xfId="827" applyFont="1" applyFill="1" applyAlignment="1" applyProtection="1">
      <alignment vertical="center"/>
      <protection locked="0"/>
    </xf>
    <xf numFmtId="0" fontId="4" fillId="58" borderId="0" xfId="0" applyFont="1" applyFill="1" applyAlignment="1" applyProtection="1">
      <alignment vertical="center"/>
      <protection locked="0"/>
    </xf>
    <xf numFmtId="183" fontId="4" fillId="58" borderId="19" xfId="0" applyNumberFormat="1" applyFont="1" applyFill="1" applyBorder="1" applyAlignment="1" applyProtection="1">
      <alignment horizontal="right" vertical="center"/>
      <protection locked="0"/>
    </xf>
    <xf numFmtId="4" fontId="4" fillId="58" borderId="21" xfId="0" applyNumberFormat="1" applyFont="1" applyFill="1" applyBorder="1" applyAlignment="1" applyProtection="1">
      <alignment horizontal="left" vertical="center"/>
      <protection locked="0"/>
    </xf>
    <xf numFmtId="0" fontId="72" fillId="0" borderId="0" xfId="0" applyFont="1"/>
    <xf numFmtId="49" fontId="1" fillId="52" borderId="0" xfId="0" applyNumberFormat="1" applyFont="1" applyFill="1" applyAlignment="1" applyProtection="1">
      <alignment horizontal="center" vertical="center"/>
      <protection locked="0"/>
    </xf>
    <xf numFmtId="0" fontId="1" fillId="52" borderId="0" xfId="0" applyFont="1" applyFill="1" applyAlignment="1" applyProtection="1">
      <alignment horizontal="left" vertical="center" wrapText="1"/>
      <protection locked="0"/>
    </xf>
    <xf numFmtId="0" fontId="1" fillId="52" borderId="0" xfId="0" applyFont="1" applyFill="1" applyAlignment="1" applyProtection="1">
      <alignment horizontal="center" vertical="center"/>
      <protection locked="0"/>
    </xf>
    <xf numFmtId="2" fontId="1" fillId="52" borderId="0" xfId="0" applyNumberFormat="1" applyFont="1" applyFill="1" applyAlignment="1" applyProtection="1">
      <alignment horizontal="center" vertical="center"/>
      <protection locked="0"/>
    </xf>
    <xf numFmtId="4" fontId="5" fillId="63" borderId="0" xfId="0" applyNumberFormat="1" applyFont="1" applyFill="1" applyAlignment="1" applyProtection="1">
      <alignment horizontal="right" vertical="center"/>
      <protection locked="0"/>
    </xf>
    <xf numFmtId="4" fontId="1" fillId="52" borderId="0" xfId="0" applyNumberFormat="1" applyFont="1" applyFill="1" applyAlignment="1" applyProtection="1">
      <alignment horizontal="right" vertical="center"/>
      <protection locked="0"/>
    </xf>
    <xf numFmtId="10" fontId="1" fillId="52" borderId="0" xfId="829" applyNumberFormat="1" applyFill="1" applyAlignment="1" applyProtection="1">
      <alignment horizontal="right" vertical="center"/>
      <protection locked="0"/>
    </xf>
    <xf numFmtId="0" fontId="1" fillId="52" borderId="0" xfId="0" applyFont="1" applyFill="1" applyAlignment="1" applyProtection="1">
      <alignment vertical="center"/>
      <protection locked="0"/>
    </xf>
    <xf numFmtId="1" fontId="1" fillId="52" borderId="0" xfId="0" applyNumberFormat="1" applyFont="1" applyFill="1" applyAlignment="1" applyProtection="1">
      <alignment horizontal="center" vertical="center"/>
      <protection locked="0"/>
    </xf>
    <xf numFmtId="0" fontId="1" fillId="52" borderId="0" xfId="0" applyFont="1" applyFill="1" applyAlignment="1" applyProtection="1">
      <alignment vertical="justify" wrapText="1"/>
      <protection locked="0"/>
    </xf>
    <xf numFmtId="4" fontId="74" fillId="52" borderId="0" xfId="0" applyNumberFormat="1" applyFont="1" applyFill="1" applyAlignment="1" applyProtection="1">
      <alignment horizontal="right" vertical="center"/>
      <protection locked="0"/>
    </xf>
    <xf numFmtId="10" fontId="73" fillId="52" borderId="0" xfId="833" applyNumberFormat="1" applyFill="1" applyAlignment="1" applyProtection="1">
      <alignment horizontal="right" vertical="center"/>
      <protection locked="0"/>
    </xf>
    <xf numFmtId="0" fontId="75" fillId="64" borderId="0" xfId="834" applyFont="1" applyFill="1"/>
    <xf numFmtId="0" fontId="76" fillId="64" borderId="0" xfId="834" applyFont="1" applyFill="1" applyAlignment="1">
      <alignment horizontal="center"/>
    </xf>
    <xf numFmtId="0" fontId="7" fillId="64" borderId="0" xfId="834" applyFill="1"/>
    <xf numFmtId="0" fontId="7" fillId="64" borderId="0" xfId="834" applyFill="1" applyAlignment="1">
      <alignment vertical="center"/>
    </xf>
    <xf numFmtId="0" fontId="7" fillId="0" borderId="28" xfId="834" applyBorder="1" applyAlignment="1">
      <alignment horizontal="center" vertical="center"/>
    </xf>
    <xf numFmtId="0" fontId="7" fillId="64" borderId="28" xfId="834" applyFill="1" applyBorder="1" applyAlignment="1">
      <alignment horizontal="center"/>
    </xf>
    <xf numFmtId="0" fontId="7" fillId="64" borderId="28" xfId="834" applyFill="1" applyBorder="1"/>
    <xf numFmtId="10" fontId="7" fillId="68" borderId="28" xfId="834" applyNumberFormat="1" applyFill="1" applyBorder="1" applyAlignment="1">
      <alignment horizontal="center"/>
    </xf>
    <xf numFmtId="10" fontId="7" fillId="0" borderId="28" xfId="835" applyNumberFormat="1" applyBorder="1" applyAlignment="1">
      <alignment horizontal="center"/>
    </xf>
    <xf numFmtId="10" fontId="7" fillId="68" borderId="28" xfId="835" applyNumberFormat="1" applyFont="1" applyFill="1" applyBorder="1" applyAlignment="1">
      <alignment horizontal="center"/>
    </xf>
    <xf numFmtId="10" fontId="7" fillId="64" borderId="28" xfId="835" applyNumberFormat="1" applyFont="1" applyFill="1" applyBorder="1" applyAlignment="1">
      <alignment horizontal="center"/>
    </xf>
    <xf numFmtId="0" fontId="7" fillId="0" borderId="28" xfId="834" applyBorder="1"/>
    <xf numFmtId="10" fontId="7" fillId="68" borderId="29" xfId="835" applyNumberFormat="1" applyFont="1" applyFill="1" applyBorder="1" applyAlignment="1">
      <alignment horizontal="center"/>
    </xf>
    <xf numFmtId="10" fontId="7" fillId="56" borderId="28" xfId="835" applyNumberFormat="1" applyFont="1" applyFill="1" applyBorder="1" applyAlignment="1">
      <alignment horizontal="center"/>
    </xf>
    <xf numFmtId="0" fontId="79" fillId="64" borderId="0" xfId="834" applyFont="1" applyFill="1"/>
    <xf numFmtId="0" fontId="77" fillId="64" borderId="34" xfId="834" applyFont="1" applyFill="1" applyBorder="1"/>
    <xf numFmtId="0" fontId="7" fillId="64" borderId="35" xfId="834" applyFill="1" applyBorder="1"/>
    <xf numFmtId="10" fontId="7" fillId="68" borderId="36" xfId="835" applyNumberFormat="1" applyFont="1" applyFill="1" applyBorder="1" applyAlignment="1">
      <alignment horizontal="center"/>
    </xf>
    <xf numFmtId="0" fontId="77" fillId="64" borderId="37" xfId="834" applyFont="1" applyFill="1" applyBorder="1"/>
    <xf numFmtId="0" fontId="7" fillId="64" borderId="9" xfId="834" applyFill="1" applyBorder="1"/>
    <xf numFmtId="10" fontId="7" fillId="68" borderId="38" xfId="835" applyNumberFormat="1" applyFont="1" applyFill="1" applyBorder="1" applyAlignment="1">
      <alignment horizontal="center"/>
    </xf>
    <xf numFmtId="0" fontId="77" fillId="64" borderId="39" xfId="834" applyFont="1" applyFill="1" applyBorder="1"/>
    <xf numFmtId="0" fontId="7" fillId="64" borderId="40" xfId="834" applyFill="1" applyBorder="1"/>
    <xf numFmtId="10" fontId="7" fillId="64" borderId="41" xfId="834" applyNumberFormat="1" applyFill="1" applyBorder="1" applyAlignment="1">
      <alignment horizontal="center"/>
    </xf>
    <xf numFmtId="0" fontId="81" fillId="64" borderId="0" xfId="834" applyFont="1" applyFill="1"/>
    <xf numFmtId="0" fontId="81" fillId="64" borderId="0" xfId="834" applyFont="1" applyFill="1" applyAlignment="1">
      <alignment horizontal="center"/>
    </xf>
    <xf numFmtId="0" fontId="6" fillId="70" borderId="0" xfId="836" applyFont="1" applyFill="1" applyAlignment="1">
      <alignment horizontal="center" vertical="center" wrapText="1"/>
    </xf>
    <xf numFmtId="0" fontId="6" fillId="64" borderId="0" xfId="836" applyFont="1" applyFill="1" applyAlignment="1">
      <alignment horizontal="center" vertical="center" wrapText="1"/>
    </xf>
    <xf numFmtId="0" fontId="58" fillId="71" borderId="42" xfId="0" applyFont="1" applyFill="1" applyBorder="1" applyAlignment="1">
      <alignment horizontal="center"/>
    </xf>
    <xf numFmtId="0" fontId="58" fillId="71" borderId="0" xfId="0" applyFont="1" applyFill="1" applyAlignment="1">
      <alignment horizontal="center"/>
    </xf>
    <xf numFmtId="0" fontId="58" fillId="71" borderId="43" xfId="0" applyFont="1" applyFill="1" applyBorder="1" applyAlignment="1">
      <alignment horizontal="center"/>
    </xf>
    <xf numFmtId="0" fontId="0" fillId="64" borderId="0" xfId="0" applyFill="1"/>
    <xf numFmtId="0" fontId="0" fillId="64" borderId="42" xfId="0" applyFill="1" applyBorder="1"/>
    <xf numFmtId="0" fontId="0" fillId="64" borderId="43" xfId="0" applyFill="1" applyBorder="1"/>
    <xf numFmtId="0" fontId="58" fillId="64" borderId="28" xfId="0" applyFont="1" applyFill="1" applyBorder="1" applyAlignment="1">
      <alignment horizontal="center" vertical="center"/>
    </xf>
    <xf numFmtId="0" fontId="58" fillId="64" borderId="0" xfId="0" applyFont="1" applyFill="1" applyAlignment="1">
      <alignment horizontal="center" vertical="center"/>
    </xf>
    <xf numFmtId="0" fontId="0" fillId="64" borderId="28" xfId="0" applyFill="1" applyBorder="1" applyAlignment="1">
      <alignment horizontal="center" vertical="center"/>
    </xf>
    <xf numFmtId="2" fontId="0" fillId="48" borderId="28" xfId="0" applyNumberFormat="1" applyFill="1" applyBorder="1" applyAlignment="1">
      <alignment horizontal="center" vertical="center"/>
    </xf>
    <xf numFmtId="2" fontId="0" fillId="64" borderId="0" xfId="0" applyNumberFormat="1" applyFill="1"/>
    <xf numFmtId="0" fontId="52" fillId="64" borderId="28" xfId="0" applyFont="1" applyFill="1" applyBorder="1" applyAlignment="1">
      <alignment horizontal="center" vertical="center"/>
    </xf>
    <xf numFmtId="2" fontId="52" fillId="64" borderId="28" xfId="0" applyNumberFormat="1" applyFont="1" applyFill="1" applyBorder="1" applyAlignment="1">
      <alignment horizontal="center" vertical="center"/>
    </xf>
    <xf numFmtId="2" fontId="52" fillId="64" borderId="0" xfId="0" applyNumberFormat="1" applyFont="1" applyFill="1"/>
    <xf numFmtId="0" fontId="52" fillId="64" borderId="0" xfId="0" applyFont="1" applyFill="1"/>
    <xf numFmtId="0" fontId="0" fillId="64" borderId="42" xfId="0" applyFill="1" applyBorder="1" applyAlignment="1">
      <alignment vertical="center"/>
    </xf>
    <xf numFmtId="0" fontId="0" fillId="64" borderId="0" xfId="0" applyFill="1" applyAlignment="1">
      <alignment vertical="center"/>
    </xf>
    <xf numFmtId="0" fontId="0" fillId="64" borderId="43" xfId="0" applyFill="1" applyBorder="1" applyAlignment="1">
      <alignment vertical="center"/>
    </xf>
    <xf numFmtId="0" fontId="83" fillId="64" borderId="0" xfId="0" applyFont="1" applyFill="1"/>
    <xf numFmtId="0" fontId="73" fillId="56" borderId="28" xfId="837" applyNumberFormat="1" applyFill="1" applyBorder="1" applyAlignment="1">
      <alignment horizontal="center"/>
    </xf>
    <xf numFmtId="0" fontId="84" fillId="64" borderId="0" xfId="0" applyFont="1" applyFill="1"/>
    <xf numFmtId="4" fontId="79" fillId="72" borderId="9" xfId="838" applyNumberFormat="1" applyFont="1" applyFill="1" applyBorder="1" applyAlignment="1" applyProtection="1">
      <alignment horizontal="center" vertical="center" wrapText="1"/>
    </xf>
    <xf numFmtId="184" fontId="79" fillId="72" borderId="9" xfId="838" applyNumberFormat="1" applyFont="1" applyFill="1" applyBorder="1" applyAlignment="1" applyProtection="1">
      <alignment vertical="center" wrapText="1"/>
    </xf>
    <xf numFmtId="49" fontId="75" fillId="56" borderId="9" xfId="512" applyNumberFormat="1" applyFont="1" applyFill="1" applyBorder="1" applyAlignment="1">
      <alignment horizontal="center" vertical="center" wrapText="1"/>
    </xf>
    <xf numFmtId="0" fontId="86" fillId="56" borderId="9" xfId="508" applyFont="1" applyFill="1" applyBorder="1" applyAlignment="1">
      <alignment horizontal="center" vertical="center" wrapText="1"/>
    </xf>
    <xf numFmtId="0" fontId="86" fillId="56" borderId="9" xfId="508" applyFont="1" applyFill="1" applyBorder="1" applyAlignment="1">
      <alignment horizontal="left" vertical="center" wrapText="1"/>
    </xf>
    <xf numFmtId="188" fontId="86" fillId="56" borderId="9" xfId="508" applyNumberFormat="1" applyFont="1" applyFill="1" applyBorder="1" applyAlignment="1">
      <alignment horizontal="right" vertical="center"/>
    </xf>
    <xf numFmtId="165" fontId="73" fillId="56" borderId="9" xfId="840" applyFill="1" applyBorder="1" applyAlignment="1">
      <alignment horizontal="center" vertical="center"/>
    </xf>
    <xf numFmtId="165" fontId="6" fillId="52" borderId="9" xfId="840" applyFont="1" applyFill="1" applyBorder="1" applyAlignment="1" applyProtection="1">
      <alignment horizontal="center" vertical="center" wrapText="1"/>
      <protection locked="0"/>
    </xf>
    <xf numFmtId="165" fontId="87" fillId="64" borderId="0" xfId="0" applyNumberFormat="1" applyFont="1" applyFill="1"/>
    <xf numFmtId="0" fontId="87" fillId="64" borderId="0" xfId="0" applyFont="1" applyFill="1"/>
    <xf numFmtId="0" fontId="31" fillId="70" borderId="49" xfId="838" applyNumberFormat="1" applyFont="1" applyFill="1" applyBorder="1" applyAlignment="1" applyProtection="1">
      <alignment horizontal="center" vertical="center"/>
    </xf>
    <xf numFmtId="49" fontId="88" fillId="48" borderId="50" xfId="832" applyNumberFormat="1" applyFont="1" applyFill="1" applyBorder="1" applyAlignment="1" applyProtection="1">
      <alignment horizontal="center" vertical="center" wrapText="1"/>
    </xf>
    <xf numFmtId="0" fontId="89" fillId="70" borderId="9" xfId="839" applyFont="1" applyFill="1" applyBorder="1" applyAlignment="1">
      <alignment vertical="center" wrapText="1"/>
    </xf>
    <xf numFmtId="0" fontId="89" fillId="70" borderId="9" xfId="839" applyFont="1" applyFill="1" applyBorder="1" applyAlignment="1">
      <alignment horizontal="center" vertical="center" wrapText="1"/>
    </xf>
    <xf numFmtId="187" fontId="89" fillId="70" borderId="9" xfId="839" applyNumberFormat="1" applyFont="1" applyFill="1" applyBorder="1" applyAlignment="1">
      <alignment horizontal="center" vertical="center"/>
    </xf>
    <xf numFmtId="4" fontId="7" fillId="70" borderId="9" xfId="841" applyNumberFormat="1" applyFont="1" applyFill="1" applyBorder="1" applyAlignment="1">
      <alignment horizontal="center" vertical="center" wrapText="1"/>
    </xf>
    <xf numFmtId="4" fontId="7" fillId="70" borderId="9" xfId="842" applyNumberFormat="1" applyFont="1" applyFill="1" applyBorder="1" applyAlignment="1">
      <alignment horizontal="center" vertical="center" wrapText="1"/>
    </xf>
    <xf numFmtId="184" fontId="7" fillId="70" borderId="9" xfId="842" applyNumberFormat="1" applyFont="1" applyFill="1" applyBorder="1" applyAlignment="1" applyProtection="1">
      <alignment horizontal="center" vertical="center"/>
    </xf>
    <xf numFmtId="0" fontId="90" fillId="64" borderId="0" xfId="0" applyFont="1" applyFill="1"/>
    <xf numFmtId="0" fontId="31" fillId="70" borderId="51" xfId="838" applyNumberFormat="1" applyFont="1" applyFill="1" applyBorder="1" applyAlignment="1" applyProtection="1">
      <alignment horizontal="center" vertical="center"/>
    </xf>
    <xf numFmtId="0" fontId="90" fillId="64" borderId="0" xfId="0" quotePrefix="1" applyFont="1" applyFill="1"/>
    <xf numFmtId="49" fontId="31" fillId="70" borderId="0" xfId="838" applyNumberFormat="1" applyFont="1" applyFill="1" applyBorder="1" applyAlignment="1" applyProtection="1">
      <alignment horizontal="center" vertical="center"/>
    </xf>
    <xf numFmtId="0" fontId="31" fillId="70" borderId="0" xfId="839" applyFont="1" applyFill="1" applyAlignment="1">
      <alignment vertical="center" wrapText="1"/>
    </xf>
    <xf numFmtId="0" fontId="31" fillId="70" borderId="0" xfId="839" applyFont="1" applyFill="1" applyAlignment="1">
      <alignment horizontal="center" vertical="center"/>
    </xf>
    <xf numFmtId="187" fontId="31" fillId="70" borderId="0" xfId="839" applyNumberFormat="1" applyFont="1" applyFill="1" applyAlignment="1">
      <alignment horizontal="center" vertical="center"/>
    </xf>
    <xf numFmtId="4" fontId="31" fillId="70" borderId="0" xfId="839" applyNumberFormat="1" applyFont="1" applyFill="1" applyAlignment="1">
      <alignment horizontal="center" vertical="center"/>
    </xf>
    <xf numFmtId="4" fontId="31" fillId="70" borderId="0" xfId="838" applyNumberFormat="1" applyFont="1" applyFill="1" applyBorder="1" applyAlignment="1" applyProtection="1">
      <alignment horizontal="center" vertical="center"/>
    </xf>
    <xf numFmtId="184" fontId="31" fillId="70" borderId="0" xfId="838" applyNumberFormat="1" applyFont="1" applyFill="1" applyBorder="1" applyAlignment="1" applyProtection="1">
      <alignment vertical="center"/>
    </xf>
    <xf numFmtId="49" fontId="6" fillId="70" borderId="0" xfId="838" applyNumberFormat="1" applyFont="1" applyFill="1" applyBorder="1" applyAlignment="1" applyProtection="1">
      <alignment horizontal="left" vertical="center"/>
    </xf>
    <xf numFmtId="1" fontId="55" fillId="52" borderId="0" xfId="0" applyNumberFormat="1" applyFont="1" applyFill="1" applyAlignment="1" applyProtection="1">
      <alignment horizontal="center" vertical="center"/>
      <protection locked="0"/>
    </xf>
    <xf numFmtId="1" fontId="4" fillId="58" borderId="20" xfId="0" applyNumberFormat="1" applyFont="1" applyFill="1" applyBorder="1" applyAlignment="1" applyProtection="1">
      <alignment horizontal="right" vertical="center"/>
      <protection locked="0"/>
    </xf>
    <xf numFmtId="0" fontId="58" fillId="52" borderId="0" xfId="0" applyFont="1" applyFill="1" applyAlignment="1" applyProtection="1">
      <alignment horizontal="left" vertical="center"/>
      <protection locked="0"/>
    </xf>
    <xf numFmtId="1" fontId="58" fillId="52" borderId="0" xfId="0" applyNumberFormat="1" applyFont="1" applyFill="1" applyBorder="1" applyAlignment="1" applyProtection="1">
      <alignment horizontal="left" vertical="center"/>
      <protection locked="0"/>
    </xf>
    <xf numFmtId="1" fontId="55" fillId="52" borderId="0" xfId="0" applyNumberFormat="1" applyFont="1" applyFill="1" applyAlignment="1" applyProtection="1">
      <alignment vertical="center"/>
      <protection locked="0"/>
    </xf>
    <xf numFmtId="165" fontId="57" fillId="52" borderId="0" xfId="827" applyFont="1" applyFill="1" applyAlignment="1" applyProtection="1">
      <alignment vertical="center"/>
      <protection locked="0"/>
    </xf>
    <xf numFmtId="189" fontId="3" fillId="52" borderId="0" xfId="829" applyNumberFormat="1" applyFont="1" applyFill="1" applyAlignment="1" applyProtection="1">
      <alignment vertical="center"/>
      <protection locked="0"/>
    </xf>
    <xf numFmtId="189" fontId="1" fillId="52" borderId="0" xfId="829" applyNumberFormat="1" applyFill="1" applyAlignment="1" applyProtection="1">
      <alignment vertical="center"/>
      <protection locked="0"/>
    </xf>
    <xf numFmtId="189" fontId="3" fillId="0" borderId="0" xfId="829" applyNumberFormat="1" applyFont="1" applyFill="1" applyBorder="1" applyAlignment="1" applyProtection="1">
      <alignment vertical="center"/>
      <protection locked="0"/>
    </xf>
    <xf numFmtId="189" fontId="57" fillId="52" borderId="0" xfId="829" applyNumberFormat="1" applyFont="1" applyFill="1" applyAlignment="1" applyProtection="1">
      <alignment vertical="center"/>
      <protection locked="0"/>
    </xf>
    <xf numFmtId="189" fontId="4" fillId="52" borderId="0" xfId="829" applyNumberFormat="1" applyFont="1" applyFill="1" applyAlignment="1" applyProtection="1">
      <alignment vertical="center" wrapText="1"/>
      <protection locked="0"/>
    </xf>
    <xf numFmtId="189" fontId="4" fillId="52" borderId="0" xfId="829" applyNumberFormat="1" applyFont="1" applyFill="1" applyAlignment="1" applyProtection="1">
      <alignment vertical="center"/>
      <protection locked="0"/>
    </xf>
    <xf numFmtId="165" fontId="4" fillId="52" borderId="9" xfId="827" applyFont="1" applyFill="1" applyBorder="1" applyAlignment="1" applyProtection="1">
      <alignment vertical="center" wrapText="1"/>
      <protection locked="0"/>
    </xf>
    <xf numFmtId="165" fontId="4" fillId="52" borderId="9" xfId="827" applyFont="1" applyFill="1" applyBorder="1" applyAlignment="1" applyProtection="1">
      <alignment horizontal="right" vertical="center" wrapText="1"/>
      <protection locked="0"/>
    </xf>
    <xf numFmtId="165" fontId="4" fillId="58" borderId="9" xfId="827" applyFont="1" applyFill="1" applyBorder="1" applyAlignment="1" applyProtection="1">
      <alignment horizontal="right" vertical="center"/>
      <protection locked="0"/>
    </xf>
    <xf numFmtId="165" fontId="4" fillId="58" borderId="19" xfId="827" applyFont="1" applyFill="1" applyBorder="1" applyAlignment="1" applyProtection="1">
      <alignment horizontal="right" vertical="center"/>
      <protection locked="0"/>
    </xf>
    <xf numFmtId="165" fontId="4" fillId="58" borderId="21" xfId="827" applyFont="1" applyFill="1" applyBorder="1" applyAlignment="1" applyProtection="1">
      <alignment horizontal="left" vertical="center"/>
      <protection locked="0"/>
    </xf>
    <xf numFmtId="1" fontId="4" fillId="73" borderId="9" xfId="0" applyNumberFormat="1" applyFont="1" applyFill="1" applyBorder="1" applyAlignment="1" applyProtection="1">
      <alignment horizontal="center" vertical="center" wrapText="1"/>
      <protection locked="0"/>
    </xf>
    <xf numFmtId="2" fontId="4" fillId="73" borderId="9" xfId="0" applyNumberFormat="1" applyFont="1" applyFill="1" applyBorder="1" applyAlignment="1" applyProtection="1">
      <alignment horizontal="left" vertical="justify" wrapText="1"/>
      <protection locked="0"/>
    </xf>
    <xf numFmtId="2" fontId="4" fillId="73" borderId="9" xfId="0" applyNumberFormat="1" applyFont="1" applyFill="1" applyBorder="1" applyAlignment="1" applyProtection="1">
      <alignment horizontal="center" vertical="center" wrapText="1"/>
      <protection locked="0"/>
    </xf>
    <xf numFmtId="183" fontId="4" fillId="73" borderId="9" xfId="0" applyNumberFormat="1" applyFont="1" applyFill="1" applyBorder="1" applyAlignment="1" applyProtection="1">
      <alignment horizontal="right" vertical="center" wrapText="1"/>
      <protection locked="0"/>
    </xf>
    <xf numFmtId="4" fontId="4" fillId="73" borderId="9" xfId="0" applyNumberFormat="1" applyFont="1" applyFill="1" applyBorder="1" applyAlignment="1" applyProtection="1">
      <alignment horizontal="right" vertical="center" wrapText="1"/>
      <protection locked="0"/>
    </xf>
    <xf numFmtId="1" fontId="4" fillId="60" borderId="9" xfId="0" applyNumberFormat="1" applyFont="1" applyFill="1" applyBorder="1" applyAlignment="1" applyProtection="1">
      <alignment horizontal="center" vertical="center" wrapText="1"/>
      <protection locked="0"/>
    </xf>
    <xf numFmtId="2" fontId="4" fillId="60" borderId="9" xfId="0" applyNumberFormat="1" applyFont="1" applyFill="1" applyBorder="1" applyAlignment="1" applyProtection="1">
      <alignment horizontal="left" vertical="justify" wrapText="1"/>
      <protection locked="0"/>
    </xf>
    <xf numFmtId="2" fontId="4" fillId="60" borderId="9" xfId="0" applyNumberFormat="1" applyFont="1" applyFill="1" applyBorder="1" applyAlignment="1" applyProtection="1">
      <alignment horizontal="center" vertical="center" wrapText="1"/>
      <protection locked="0"/>
    </xf>
    <xf numFmtId="183" fontId="4" fillId="60" borderId="9" xfId="0" applyNumberFormat="1" applyFont="1" applyFill="1" applyBorder="1" applyAlignment="1" applyProtection="1">
      <alignment horizontal="right" vertical="center" wrapText="1"/>
      <protection locked="0"/>
    </xf>
    <xf numFmtId="4" fontId="4" fillId="60" borderId="9" xfId="0" applyNumberFormat="1" applyFont="1" applyFill="1" applyBorder="1" applyAlignment="1" applyProtection="1">
      <alignment horizontal="right" vertical="center" wrapText="1"/>
      <protection locked="0"/>
    </xf>
    <xf numFmtId="9" fontId="4" fillId="60" borderId="9" xfId="829" applyFont="1" applyFill="1" applyBorder="1" applyAlignment="1" applyProtection="1">
      <alignment horizontal="right" vertical="center" wrapText="1"/>
      <protection locked="0"/>
    </xf>
    <xf numFmtId="9" fontId="5" fillId="52" borderId="0" xfId="829" applyFont="1" applyFill="1" applyAlignment="1" applyProtection="1">
      <alignment horizontal="right" vertical="center"/>
      <protection locked="0"/>
    </xf>
    <xf numFmtId="9" fontId="56" fillId="52" borderId="0" xfId="829" applyFont="1" applyFill="1" applyAlignment="1" applyProtection="1">
      <alignment horizontal="right" vertical="center"/>
      <protection locked="0"/>
    </xf>
    <xf numFmtId="9" fontId="5" fillId="63" borderId="0" xfId="829" applyFont="1" applyFill="1" applyAlignment="1" applyProtection="1">
      <alignment horizontal="right" vertical="center"/>
      <protection locked="0"/>
    </xf>
    <xf numFmtId="9" fontId="4" fillId="53" borderId="20" xfId="829" applyFont="1" applyFill="1" applyBorder="1" applyAlignment="1" applyProtection="1">
      <alignment horizontal="center" vertical="center" wrapText="1"/>
      <protection locked="0"/>
    </xf>
    <xf numFmtId="9" fontId="4" fillId="0" borderId="0" xfId="829" applyFont="1" applyFill="1" applyBorder="1" applyAlignment="1" applyProtection="1">
      <alignment horizontal="center" vertical="center" wrapText="1"/>
      <protection locked="0"/>
    </xf>
    <xf numFmtId="9" fontId="58" fillId="52" borderId="0" xfId="829" applyFont="1" applyFill="1" applyBorder="1" applyAlignment="1" applyProtection="1">
      <alignment horizontal="center" vertical="center"/>
      <protection locked="0"/>
    </xf>
    <xf numFmtId="9" fontId="58" fillId="52" borderId="0" xfId="829" applyFont="1" applyFill="1" applyBorder="1" applyAlignment="1" applyProtection="1">
      <alignment horizontal="left" vertical="center"/>
      <protection locked="0"/>
    </xf>
    <xf numFmtId="9" fontId="57" fillId="52" borderId="0" xfId="829" applyFont="1" applyFill="1" applyAlignment="1" applyProtection="1">
      <alignment horizontal="right" vertical="center"/>
      <protection locked="0"/>
    </xf>
    <xf numFmtId="165" fontId="4" fillId="52" borderId="0" xfId="0" applyNumberFormat="1" applyFont="1" applyFill="1" applyAlignment="1" applyProtection="1">
      <alignment vertical="center"/>
      <protection locked="0"/>
    </xf>
    <xf numFmtId="10" fontId="4" fillId="60" borderId="9" xfId="829" applyNumberFormat="1" applyFont="1" applyFill="1" applyBorder="1" applyAlignment="1" applyProtection="1">
      <alignment horizontal="right" vertical="center" wrapText="1"/>
      <protection locked="0"/>
    </xf>
    <xf numFmtId="10" fontId="4" fillId="60" borderId="9" xfId="0" applyNumberFormat="1" applyFont="1" applyFill="1" applyBorder="1" applyAlignment="1" applyProtection="1">
      <alignment horizontal="right" vertical="center" wrapText="1"/>
      <protection locked="0"/>
    </xf>
    <xf numFmtId="10" fontId="4" fillId="52" borderId="9" xfId="829" applyNumberFormat="1" applyFont="1" applyFill="1" applyBorder="1" applyAlignment="1" applyProtection="1">
      <alignment horizontal="right" vertical="center" wrapText="1"/>
      <protection locked="0"/>
    </xf>
    <xf numFmtId="10" fontId="56" fillId="58" borderId="9" xfId="829" applyNumberFormat="1" applyFont="1" applyFill="1" applyBorder="1" applyAlignment="1" applyProtection="1">
      <alignment horizontal="right" vertical="center"/>
      <protection locked="0"/>
    </xf>
    <xf numFmtId="10" fontId="4" fillId="73" borderId="9" xfId="829" applyNumberFormat="1" applyFont="1" applyFill="1" applyBorder="1" applyAlignment="1" applyProtection="1">
      <alignment horizontal="right" vertical="center" wrapText="1"/>
      <protection locked="0"/>
    </xf>
    <xf numFmtId="165" fontId="3" fillId="52" borderId="0" xfId="0" applyNumberFormat="1" applyFont="1" applyFill="1" applyAlignment="1" applyProtection="1">
      <alignment vertical="center"/>
      <protection locked="0"/>
    </xf>
    <xf numFmtId="4" fontId="57" fillId="52" borderId="0" xfId="0" applyNumberFormat="1" applyFont="1" applyFill="1" applyBorder="1" applyAlignment="1" applyProtection="1">
      <alignment vertical="center"/>
      <protection locked="0"/>
    </xf>
    <xf numFmtId="4" fontId="4" fillId="52" borderId="0" xfId="0" applyNumberFormat="1" applyFont="1" applyFill="1" applyBorder="1" applyAlignment="1" applyProtection="1">
      <alignment vertical="center"/>
      <protection locked="0"/>
    </xf>
    <xf numFmtId="2" fontId="57" fillId="52" borderId="9" xfId="0" applyNumberFormat="1" applyFont="1" applyFill="1" applyBorder="1" applyAlignment="1" applyProtection="1">
      <alignment horizontal="left" vertical="justify"/>
      <protection locked="0"/>
    </xf>
    <xf numFmtId="1" fontId="57" fillId="52" borderId="9" xfId="0" applyNumberFormat="1" applyFont="1" applyFill="1" applyBorder="1" applyAlignment="1" applyProtection="1">
      <alignment horizontal="center" vertical="center"/>
      <protection locked="0"/>
    </xf>
    <xf numFmtId="2" fontId="57" fillId="52" borderId="9" xfId="0" applyNumberFormat="1" applyFont="1" applyFill="1" applyBorder="1" applyAlignment="1" applyProtection="1">
      <alignment horizontal="center" vertical="center"/>
      <protection locked="0"/>
    </xf>
    <xf numFmtId="4" fontId="57" fillId="52" borderId="9" xfId="0" applyNumberFormat="1" applyFont="1" applyFill="1" applyBorder="1" applyAlignment="1" applyProtection="1">
      <alignment horizontal="right" vertical="center"/>
      <protection locked="0"/>
    </xf>
    <xf numFmtId="4" fontId="57" fillId="0" borderId="9" xfId="0" applyNumberFormat="1" applyFont="1" applyFill="1" applyBorder="1" applyAlignment="1" applyProtection="1">
      <alignment horizontal="right" vertical="center"/>
      <protection locked="0"/>
    </xf>
    <xf numFmtId="0" fontId="4" fillId="52" borderId="0" xfId="0" applyFont="1" applyFill="1" applyBorder="1" applyAlignment="1" applyProtection="1">
      <alignment vertical="center"/>
      <protection locked="0"/>
    </xf>
    <xf numFmtId="0" fontId="72" fillId="0" borderId="0" xfId="0" applyFont="1" applyAlignment="1">
      <alignment horizontal="left"/>
    </xf>
    <xf numFmtId="165" fontId="4" fillId="52" borderId="0" xfId="827" applyFont="1" applyFill="1" applyAlignment="1" applyProtection="1">
      <alignment vertical="center" wrapText="1"/>
      <protection locked="0"/>
    </xf>
    <xf numFmtId="165" fontId="3" fillId="52" borderId="0" xfId="827" applyFont="1" applyFill="1" applyAlignment="1" applyProtection="1">
      <alignment vertical="center"/>
      <protection locked="0"/>
    </xf>
    <xf numFmtId="1" fontId="55" fillId="52" borderId="0" xfId="0" applyNumberFormat="1" applyFont="1" applyFill="1" applyAlignment="1" applyProtection="1">
      <alignment vertical="center" wrapText="1"/>
      <protection locked="0"/>
    </xf>
    <xf numFmtId="0" fontId="3" fillId="52" borderId="0" xfId="0" applyFont="1" applyFill="1" applyAlignment="1" applyProtection="1">
      <alignment vertical="center" wrapText="1"/>
      <protection locked="0"/>
    </xf>
    <xf numFmtId="0" fontId="1" fillId="52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65" fontId="3" fillId="52" borderId="0" xfId="0" applyNumberFormat="1" applyFont="1" applyFill="1" applyAlignment="1" applyProtection="1">
      <alignment vertical="center" wrapText="1"/>
      <protection locked="0"/>
    </xf>
    <xf numFmtId="185" fontId="69" fillId="0" borderId="0" xfId="830" applyNumberFormat="1" applyFont="1" applyBorder="1" applyAlignment="1" applyProtection="1">
      <alignment horizontal="center" vertical="center" wrapText="1"/>
      <protection locked="0"/>
    </xf>
    <xf numFmtId="165" fontId="69" fillId="0" borderId="0" xfId="827" applyFont="1" applyBorder="1" applyAlignment="1" applyProtection="1">
      <alignment horizontal="center" vertical="center" wrapText="1"/>
      <protection locked="0"/>
    </xf>
    <xf numFmtId="185" fontId="4" fillId="52" borderId="0" xfId="0" applyNumberFormat="1" applyFont="1" applyFill="1" applyAlignment="1" applyProtection="1">
      <alignment vertical="center" wrapText="1"/>
      <protection locked="0"/>
    </xf>
    <xf numFmtId="165" fontId="4" fillId="52" borderId="0" xfId="0" applyNumberFormat="1" applyFont="1" applyFill="1" applyAlignment="1" applyProtection="1">
      <alignment vertical="center" wrapText="1"/>
      <protection locked="0"/>
    </xf>
    <xf numFmtId="0" fontId="91" fillId="52" borderId="0" xfId="0" applyFont="1" applyFill="1" applyAlignment="1" applyProtection="1">
      <alignment vertical="center" wrapText="1"/>
      <protection locked="0"/>
    </xf>
    <xf numFmtId="3" fontId="0" fillId="0" borderId="0" xfId="0" applyNumberFormat="1"/>
    <xf numFmtId="165" fontId="3" fillId="52" borderId="0" xfId="827" applyFont="1" applyFill="1" applyAlignment="1" applyProtection="1">
      <alignment vertical="center" wrapText="1"/>
      <protection locked="0"/>
    </xf>
    <xf numFmtId="1" fontId="55" fillId="52" borderId="0" xfId="0" applyNumberFormat="1" applyFont="1" applyFill="1" applyAlignment="1" applyProtection="1">
      <alignment horizontal="center" vertical="center"/>
      <protection locked="0"/>
    </xf>
    <xf numFmtId="1" fontId="58" fillId="52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830" applyFont="1"/>
    <xf numFmtId="0" fontId="0" fillId="64" borderId="0" xfId="830" applyFont="1" applyFill="1"/>
    <xf numFmtId="1" fontId="55" fillId="52" borderId="0" xfId="0" applyNumberFormat="1" applyFont="1" applyFill="1" applyAlignment="1" applyProtection="1">
      <alignment horizontal="center" vertical="center"/>
      <protection locked="0"/>
    </xf>
    <xf numFmtId="1" fontId="4" fillId="58" borderId="20" xfId="0" applyNumberFormat="1" applyFont="1" applyFill="1" applyBorder="1" applyAlignment="1" applyProtection="1">
      <alignment horizontal="right" vertical="center"/>
      <protection locked="0"/>
    </xf>
    <xf numFmtId="0" fontId="58" fillId="52" borderId="0" xfId="0" applyFont="1" applyFill="1" applyAlignment="1" applyProtection="1">
      <alignment horizontal="left" vertical="center"/>
      <protection locked="0"/>
    </xf>
    <xf numFmtId="1" fontId="58" fillId="52" borderId="0" xfId="0" applyNumberFormat="1" applyFont="1" applyFill="1" applyBorder="1" applyAlignment="1" applyProtection="1">
      <alignment horizontal="left" vertical="center"/>
      <protection locked="0"/>
    </xf>
    <xf numFmtId="0" fontId="0" fillId="52" borderId="0" xfId="0" applyFont="1" applyFill="1" applyAlignment="1" applyProtection="1">
      <alignment vertical="justify"/>
      <protection locked="0"/>
    </xf>
    <xf numFmtId="0" fontId="55" fillId="52" borderId="0" xfId="0" applyFont="1" applyFill="1" applyAlignment="1" applyProtection="1">
      <alignment vertical="justify"/>
      <protection locked="0"/>
    </xf>
    <xf numFmtId="0" fontId="1" fillId="52" borderId="0" xfId="0" applyFont="1" applyFill="1" applyAlignment="1" applyProtection="1">
      <alignment horizontal="left" vertical="center"/>
      <protection locked="0"/>
    </xf>
    <xf numFmtId="0" fontId="4" fillId="53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2" fontId="4" fillId="60" borderId="9" xfId="0" applyNumberFormat="1" applyFont="1" applyFill="1" applyBorder="1" applyAlignment="1" applyProtection="1">
      <alignment horizontal="left" vertical="justify"/>
      <protection locked="0"/>
    </xf>
    <xf numFmtId="0" fontId="3" fillId="52" borderId="0" xfId="0" applyFont="1" applyFill="1" applyAlignment="1" applyProtection="1">
      <alignment vertical="justify"/>
      <protection locked="0"/>
    </xf>
    <xf numFmtId="44" fontId="4" fillId="52" borderId="0" xfId="0" applyNumberFormat="1" applyFont="1" applyFill="1" applyAlignment="1" applyProtection="1">
      <alignment vertical="center" wrapText="1"/>
      <protection locked="0"/>
    </xf>
    <xf numFmtId="2" fontId="52" fillId="0" borderId="55" xfId="0" applyNumberFormat="1" applyFont="1" applyBorder="1" applyAlignment="1">
      <alignment vertical="center" wrapText="1"/>
    </xf>
    <xf numFmtId="185" fontId="69" fillId="0" borderId="56" xfId="830" applyNumberFormat="1" applyFont="1" applyBorder="1" applyAlignment="1" applyProtection="1">
      <alignment horizontal="center" vertical="center" wrapText="1"/>
      <protection locked="0"/>
    </xf>
    <xf numFmtId="1" fontId="0" fillId="52" borderId="46" xfId="0" applyNumberFormat="1" applyFont="1" applyFill="1" applyBorder="1" applyAlignment="1" applyProtection="1">
      <alignment horizontal="center" vertical="center"/>
      <protection locked="0"/>
    </xf>
    <xf numFmtId="1" fontId="0" fillId="52" borderId="47" xfId="0" applyNumberFormat="1" applyFont="1" applyFill="1" applyBorder="1" applyAlignment="1" applyProtection="1">
      <alignment horizontal="center" vertical="center"/>
      <protection locked="0"/>
    </xf>
    <xf numFmtId="0" fontId="0" fillId="52" borderId="47" xfId="0" applyFont="1" applyFill="1" applyBorder="1" applyAlignment="1" applyProtection="1">
      <alignment vertical="justify" wrapText="1"/>
      <protection locked="0"/>
    </xf>
    <xf numFmtId="0" fontId="0" fillId="52" borderId="47" xfId="0" applyFont="1" applyFill="1" applyBorder="1" applyAlignment="1" applyProtection="1">
      <alignment horizontal="center" vertical="center"/>
      <protection locked="0"/>
    </xf>
    <xf numFmtId="183" fontId="0" fillId="52" borderId="47" xfId="0" applyNumberFormat="1" applyFont="1" applyFill="1" applyBorder="1" applyAlignment="1" applyProtection="1">
      <alignment horizontal="right" vertical="center"/>
      <protection locked="0"/>
    </xf>
    <xf numFmtId="4" fontId="5" fillId="52" borderId="47" xfId="0" applyNumberFormat="1" applyFont="1" applyFill="1" applyBorder="1" applyAlignment="1" applyProtection="1">
      <alignment horizontal="right" vertical="center"/>
      <protection locked="0"/>
    </xf>
    <xf numFmtId="9" fontId="5" fillId="52" borderId="47" xfId="829" applyFont="1" applyFill="1" applyBorder="1" applyAlignment="1" applyProtection="1">
      <alignment horizontal="right" vertical="center"/>
      <protection locked="0"/>
    </xf>
    <xf numFmtId="4" fontId="5" fillId="52" borderId="48" xfId="0" applyNumberFormat="1" applyFont="1" applyFill="1" applyBorder="1" applyAlignment="1" applyProtection="1">
      <alignment horizontal="right" vertical="center"/>
      <protection locked="0"/>
    </xf>
    <xf numFmtId="1" fontId="55" fillId="52" borderId="42" xfId="0" applyNumberFormat="1" applyFont="1" applyFill="1" applyBorder="1" applyAlignment="1" applyProtection="1">
      <alignment horizontal="center" vertical="center"/>
      <protection locked="0"/>
    </xf>
    <xf numFmtId="1" fontId="55" fillId="52" borderId="0" xfId="0" applyNumberFormat="1" applyFont="1" applyFill="1" applyBorder="1" applyAlignment="1" applyProtection="1">
      <alignment horizontal="center" vertical="center"/>
      <protection locked="0"/>
    </xf>
    <xf numFmtId="0" fontId="55" fillId="52" borderId="0" xfId="0" applyFont="1" applyFill="1" applyBorder="1" applyAlignment="1" applyProtection="1">
      <alignment vertical="justify" wrapText="1"/>
      <protection locked="0"/>
    </xf>
    <xf numFmtId="0" fontId="55" fillId="52" borderId="0" xfId="0" applyFont="1" applyFill="1" applyBorder="1" applyAlignment="1" applyProtection="1">
      <alignment horizontal="center" vertical="center"/>
      <protection locked="0"/>
    </xf>
    <xf numFmtId="183" fontId="55" fillId="52" borderId="0" xfId="0" applyNumberFormat="1" applyFont="1" applyFill="1" applyBorder="1" applyAlignment="1" applyProtection="1">
      <alignment horizontal="right" vertical="center"/>
      <protection locked="0"/>
    </xf>
    <xf numFmtId="4" fontId="56" fillId="52" borderId="0" xfId="0" applyNumberFormat="1" applyFont="1" applyFill="1" applyBorder="1" applyAlignment="1" applyProtection="1">
      <alignment horizontal="right" vertical="center"/>
      <protection locked="0"/>
    </xf>
    <xf numFmtId="9" fontId="56" fillId="52" borderId="0" xfId="829" applyFont="1" applyFill="1" applyBorder="1" applyAlignment="1" applyProtection="1">
      <alignment horizontal="right" vertical="center"/>
      <protection locked="0"/>
    </xf>
    <xf numFmtId="4" fontId="56" fillId="52" borderId="43" xfId="0" applyNumberFormat="1" applyFont="1" applyFill="1" applyBorder="1" applyAlignment="1" applyProtection="1">
      <alignment horizontal="right" vertical="center"/>
      <protection locked="0"/>
    </xf>
    <xf numFmtId="0" fontId="72" fillId="0" borderId="42" xfId="0" applyFont="1" applyBorder="1"/>
    <xf numFmtId="49" fontId="1" fillId="52" borderId="0" xfId="0" applyNumberFormat="1" applyFont="1" applyFill="1" applyBorder="1" applyAlignment="1" applyProtection="1">
      <alignment horizontal="center" vertical="center"/>
      <protection locked="0"/>
    </xf>
    <xf numFmtId="0" fontId="1" fillId="52" borderId="0" xfId="0" applyFont="1" applyFill="1" applyBorder="1" applyAlignment="1" applyProtection="1">
      <alignment horizontal="left" vertical="center" wrapText="1"/>
      <protection locked="0"/>
    </xf>
    <xf numFmtId="0" fontId="1" fillId="52" borderId="0" xfId="0" applyFont="1" applyFill="1" applyBorder="1" applyAlignment="1" applyProtection="1">
      <alignment horizontal="center" vertical="center"/>
      <protection locked="0"/>
    </xf>
    <xf numFmtId="2" fontId="1" fillId="52" borderId="0" xfId="0" applyNumberFormat="1" applyFont="1" applyFill="1" applyBorder="1" applyAlignment="1" applyProtection="1">
      <alignment horizontal="center" vertical="center"/>
      <protection locked="0"/>
    </xf>
    <xf numFmtId="4" fontId="5" fillId="63" borderId="0" xfId="0" applyNumberFormat="1" applyFont="1" applyFill="1" applyBorder="1" applyAlignment="1" applyProtection="1">
      <alignment horizontal="right" vertical="center"/>
      <protection locked="0"/>
    </xf>
    <xf numFmtId="4" fontId="1" fillId="52" borderId="0" xfId="0" applyNumberFormat="1" applyFont="1" applyFill="1" applyBorder="1" applyAlignment="1" applyProtection="1">
      <alignment horizontal="right" vertical="center"/>
      <protection locked="0"/>
    </xf>
    <xf numFmtId="9" fontId="5" fillId="63" borderId="0" xfId="829" applyFont="1" applyFill="1" applyBorder="1" applyAlignment="1" applyProtection="1">
      <alignment horizontal="right" vertical="center"/>
      <protection locked="0"/>
    </xf>
    <xf numFmtId="10" fontId="1" fillId="52" borderId="43" xfId="829" applyNumberFormat="1" applyFill="1" applyBorder="1" applyAlignment="1" applyProtection="1">
      <alignment horizontal="right" vertical="center"/>
      <protection locked="0"/>
    </xf>
    <xf numFmtId="1" fontId="4" fillId="53" borderId="37" xfId="0" applyNumberFormat="1" applyFont="1" applyFill="1" applyBorder="1" applyAlignment="1" applyProtection="1">
      <alignment horizontal="center" vertical="center" wrapText="1"/>
      <protection locked="0"/>
    </xf>
    <xf numFmtId="4" fontId="4" fillId="53" borderId="3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3" xfId="0" applyNumberFormat="1" applyFont="1" applyFill="1" applyBorder="1" applyAlignment="1" applyProtection="1">
      <alignment horizontal="center" vertical="center" wrapText="1"/>
      <protection locked="0"/>
    </xf>
    <xf numFmtId="1" fontId="4" fillId="60" borderId="37" xfId="0" applyNumberFormat="1" applyFont="1" applyFill="1" applyBorder="1" applyAlignment="1" applyProtection="1">
      <alignment horizontal="center" vertical="center" wrapText="1"/>
      <protection locked="0"/>
    </xf>
    <xf numFmtId="10" fontId="4" fillId="60" borderId="38" xfId="0" applyNumberFormat="1" applyFont="1" applyFill="1" applyBorder="1" applyAlignment="1" applyProtection="1">
      <alignment horizontal="right" vertical="center" wrapText="1"/>
      <protection locked="0"/>
    </xf>
    <xf numFmtId="1" fontId="57" fillId="52" borderId="37" xfId="0" applyNumberFormat="1" applyFont="1" applyFill="1" applyBorder="1" applyAlignment="1" applyProtection="1">
      <alignment horizontal="center" vertical="center" wrapText="1"/>
      <protection locked="0"/>
    </xf>
    <xf numFmtId="10" fontId="56" fillId="58" borderId="57" xfId="829" applyNumberFormat="1" applyFont="1" applyFill="1" applyBorder="1" applyAlignment="1" applyProtection="1">
      <alignment vertical="center" wrapText="1"/>
      <protection locked="0"/>
    </xf>
    <xf numFmtId="10" fontId="56" fillId="58" borderId="58" xfId="829" applyNumberFormat="1" applyFont="1" applyFill="1" applyBorder="1" applyAlignment="1" applyProtection="1">
      <alignment vertical="center" wrapText="1"/>
      <protection locked="0"/>
    </xf>
    <xf numFmtId="0" fontId="4" fillId="58" borderId="42" xfId="0" applyFont="1" applyFill="1" applyBorder="1" applyAlignment="1" applyProtection="1">
      <alignment vertical="center"/>
      <protection locked="0"/>
    </xf>
    <xf numFmtId="10" fontId="56" fillId="58" borderId="59" xfId="829" applyNumberFormat="1" applyFont="1" applyFill="1" applyBorder="1" applyAlignment="1" applyProtection="1">
      <alignment vertical="center" wrapText="1"/>
      <protection locked="0"/>
    </xf>
    <xf numFmtId="10" fontId="4" fillId="60" borderId="38" xfId="829" applyNumberFormat="1" applyFont="1" applyFill="1" applyBorder="1" applyAlignment="1" applyProtection="1">
      <alignment horizontal="right" vertical="center" wrapText="1"/>
      <protection locked="0"/>
    </xf>
    <xf numFmtId="4" fontId="4" fillId="60" borderId="40" xfId="0" applyNumberFormat="1" applyFont="1" applyFill="1" applyBorder="1" applyAlignment="1" applyProtection="1">
      <alignment horizontal="right" vertical="center" wrapText="1"/>
      <protection locked="0"/>
    </xf>
    <xf numFmtId="9" fontId="4" fillId="60" borderId="40" xfId="829" applyFont="1" applyFill="1" applyBorder="1" applyAlignment="1" applyProtection="1">
      <alignment horizontal="right" vertical="center" wrapText="1"/>
      <protection locked="0"/>
    </xf>
    <xf numFmtId="4" fontId="4" fillId="60" borderId="41" xfId="0" applyNumberFormat="1" applyFont="1" applyFill="1" applyBorder="1" applyAlignment="1" applyProtection="1">
      <alignment horizontal="right" vertical="center" wrapText="1"/>
      <protection locked="0"/>
    </xf>
    <xf numFmtId="1" fontId="67" fillId="52" borderId="0" xfId="830" applyNumberFormat="1" applyFont="1" applyFill="1" applyAlignment="1" applyProtection="1">
      <alignment vertical="center"/>
      <protection locked="0"/>
    </xf>
    <xf numFmtId="165" fontId="66" fillId="60" borderId="28" xfId="827" applyFont="1" applyFill="1" applyBorder="1" applyAlignment="1" applyProtection="1">
      <alignment vertical="center"/>
      <protection locked="0"/>
    </xf>
    <xf numFmtId="4" fontId="58" fillId="57" borderId="38" xfId="0" applyNumberFormat="1" applyFont="1" applyFill="1" applyBorder="1" applyAlignment="1">
      <alignment horizontal="center"/>
    </xf>
    <xf numFmtId="0" fontId="58" fillId="57" borderId="37" xfId="0" applyFont="1" applyFill="1" applyBorder="1" applyAlignment="1">
      <alignment horizontal="center"/>
    </xf>
    <xf numFmtId="4" fontId="3" fillId="57" borderId="38" xfId="0" applyNumberFormat="1" applyFont="1" applyFill="1" applyBorder="1" applyAlignment="1">
      <alignment horizontal="center"/>
    </xf>
    <xf numFmtId="0" fontId="58" fillId="0" borderId="37" xfId="0" applyFont="1" applyBorder="1" applyAlignment="1">
      <alignment horizontal="center"/>
    </xf>
    <xf numFmtId="0" fontId="58" fillId="0" borderId="37" xfId="0" applyFont="1" applyFill="1" applyBorder="1" applyAlignment="1">
      <alignment horizontal="center"/>
    </xf>
    <xf numFmtId="0" fontId="58" fillId="0" borderId="37" xfId="0" applyFont="1" applyBorder="1" applyAlignment="1">
      <alignment horizontal="center" vertical="center"/>
    </xf>
    <xf numFmtId="4" fontId="3" fillId="0" borderId="38" xfId="0" applyNumberFormat="1" applyFont="1" applyBorder="1" applyAlignment="1">
      <alignment vertical="center"/>
    </xf>
    <xf numFmtId="165" fontId="58" fillId="57" borderId="38" xfId="0" applyNumberFormat="1" applyFont="1" applyFill="1" applyBorder="1"/>
    <xf numFmtId="165" fontId="58" fillId="57" borderId="39" xfId="0" applyNumberFormat="1" applyFont="1" applyFill="1" applyBorder="1" applyAlignment="1">
      <alignment horizontal="center"/>
    </xf>
    <xf numFmtId="165" fontId="58" fillId="57" borderId="40" xfId="0" applyNumberFormat="1" applyFont="1" applyFill="1" applyBorder="1"/>
    <xf numFmtId="165" fontId="58" fillId="57" borderId="40" xfId="0" applyNumberFormat="1" applyFont="1" applyFill="1" applyBorder="1" applyAlignment="1">
      <alignment vertical="center" wrapText="1"/>
    </xf>
    <xf numFmtId="10" fontId="58" fillId="57" borderId="40" xfId="0" applyNumberFormat="1" applyFont="1" applyFill="1" applyBorder="1"/>
    <xf numFmtId="165" fontId="58" fillId="57" borderId="40" xfId="0" applyNumberFormat="1" applyFont="1" applyFill="1" applyBorder="1" applyAlignment="1">
      <alignment vertical="center"/>
    </xf>
    <xf numFmtId="165" fontId="58" fillId="57" borderId="41" xfId="0" applyNumberFormat="1" applyFont="1" applyFill="1" applyBorder="1"/>
    <xf numFmtId="0" fontId="58" fillId="57" borderId="9" xfId="0" applyFont="1" applyFill="1" applyBorder="1" applyAlignment="1">
      <alignment wrapText="1"/>
    </xf>
    <xf numFmtId="0" fontId="58" fillId="0" borderId="9" xfId="0" applyFont="1" applyBorder="1" applyAlignment="1">
      <alignment wrapText="1"/>
    </xf>
    <xf numFmtId="0" fontId="58" fillId="0" borderId="9" xfId="0" applyFont="1" applyFill="1" applyBorder="1" applyAlignment="1">
      <alignment wrapText="1"/>
    </xf>
    <xf numFmtId="49" fontId="58" fillId="57" borderId="40" xfId="0" applyNumberFormat="1" applyFont="1" applyFill="1" applyBorder="1" applyAlignment="1">
      <alignment wrapText="1"/>
    </xf>
    <xf numFmtId="10" fontId="3" fillId="57" borderId="9" xfId="0" applyNumberFormat="1" applyFont="1" applyFill="1" applyBorder="1" applyAlignment="1">
      <alignment vertical="center"/>
    </xf>
    <xf numFmtId="4" fontId="3" fillId="57" borderId="38" xfId="0" applyNumberFormat="1" applyFont="1" applyFill="1" applyBorder="1" applyAlignment="1">
      <alignment vertical="center"/>
    </xf>
    <xf numFmtId="10" fontId="3" fillId="0" borderId="9" xfId="0" applyNumberFormat="1" applyFont="1" applyFill="1" applyBorder="1" applyAlignment="1">
      <alignment vertical="center"/>
    </xf>
    <xf numFmtId="4" fontId="3" fillId="0" borderId="38" xfId="0" applyNumberFormat="1" applyFont="1" applyFill="1" applyBorder="1" applyAlignment="1">
      <alignment vertical="center"/>
    </xf>
    <xf numFmtId="44" fontId="4" fillId="52" borderId="0" xfId="0" applyNumberFormat="1" applyFont="1" applyFill="1" applyAlignment="1" applyProtection="1">
      <alignment vertical="center"/>
      <protection locked="0"/>
    </xf>
    <xf numFmtId="0" fontId="31" fillId="70" borderId="0" xfId="838" applyNumberFormat="1" applyFont="1" applyFill="1" applyBorder="1" applyAlignment="1" applyProtection="1">
      <alignment horizontal="center" vertical="center"/>
    </xf>
    <xf numFmtId="49" fontId="88" fillId="48" borderId="0" xfId="832" applyNumberFormat="1" applyFont="1" applyFill="1" applyBorder="1" applyAlignment="1" applyProtection="1">
      <alignment horizontal="center" vertical="center" wrapText="1"/>
    </xf>
    <xf numFmtId="0" fontId="89" fillId="70" borderId="0" xfId="839" applyFont="1" applyFill="1" applyBorder="1" applyAlignment="1">
      <alignment vertical="center" wrapText="1"/>
    </xf>
    <xf numFmtId="0" fontId="89" fillId="70" borderId="0" xfId="839" applyFont="1" applyFill="1" applyBorder="1" applyAlignment="1">
      <alignment horizontal="center" vertical="center" wrapText="1"/>
    </xf>
    <xf numFmtId="187" fontId="89" fillId="70" borderId="0" xfId="839" applyNumberFormat="1" applyFont="1" applyFill="1" applyBorder="1" applyAlignment="1">
      <alignment horizontal="center" vertical="center"/>
    </xf>
    <xf numFmtId="4" fontId="7" fillId="70" borderId="0" xfId="841" applyNumberFormat="1" applyFont="1" applyFill="1" applyBorder="1" applyAlignment="1">
      <alignment horizontal="center" vertical="center" wrapText="1"/>
    </xf>
    <xf numFmtId="4" fontId="7" fillId="70" borderId="0" xfId="842" applyNumberFormat="1" applyFont="1" applyFill="1" applyBorder="1" applyAlignment="1">
      <alignment horizontal="center" vertical="center" wrapText="1"/>
    </xf>
    <xf numFmtId="184" fontId="7" fillId="70" borderId="0" xfId="842" applyNumberFormat="1" applyFont="1" applyFill="1" applyBorder="1" applyAlignment="1" applyProtection="1">
      <alignment horizontal="center" vertical="center"/>
    </xf>
    <xf numFmtId="44" fontId="3" fillId="52" borderId="0" xfId="0" applyNumberFormat="1" applyFont="1" applyFill="1" applyAlignment="1" applyProtection="1">
      <alignment vertical="center"/>
      <protection locked="0"/>
    </xf>
    <xf numFmtId="166" fontId="3" fillId="52" borderId="0" xfId="828" applyFont="1" applyFill="1" applyAlignment="1" applyProtection="1">
      <alignment vertical="center"/>
      <protection locked="0"/>
    </xf>
    <xf numFmtId="44" fontId="90" fillId="64" borderId="0" xfId="0" applyNumberFormat="1" applyFont="1" applyFill="1"/>
    <xf numFmtId="4" fontId="90" fillId="64" borderId="0" xfId="0" applyNumberFormat="1" applyFont="1" applyFill="1"/>
    <xf numFmtId="1" fontId="55" fillId="52" borderId="0" xfId="0" applyNumberFormat="1" applyFont="1" applyFill="1" applyAlignment="1" applyProtection="1">
      <alignment horizontal="center" vertical="center" wrapText="1"/>
      <protection locked="0"/>
    </xf>
    <xf numFmtId="1" fontId="55" fillId="52" borderId="0" xfId="0" applyNumberFormat="1" applyFont="1" applyFill="1" applyAlignment="1" applyProtection="1">
      <alignment horizontal="center" vertical="center"/>
      <protection locked="0"/>
    </xf>
    <xf numFmtId="49" fontId="75" fillId="61" borderId="9" xfId="512" applyNumberFormat="1" applyFont="1" applyFill="1" applyBorder="1" applyAlignment="1">
      <alignment horizontal="center" vertical="center" wrapText="1"/>
    </xf>
    <xf numFmtId="0" fontId="86" fillId="61" borderId="9" xfId="508" applyFont="1" applyFill="1" applyBorder="1" applyAlignment="1">
      <alignment horizontal="center" vertical="center" wrapText="1"/>
    </xf>
    <xf numFmtId="0" fontId="86" fillId="61" borderId="9" xfId="508" applyFont="1" applyFill="1" applyBorder="1" applyAlignment="1">
      <alignment horizontal="left" vertical="center" wrapText="1"/>
    </xf>
    <xf numFmtId="188" fontId="86" fillId="61" borderId="9" xfId="508" applyNumberFormat="1" applyFont="1" applyFill="1" applyBorder="1" applyAlignment="1">
      <alignment horizontal="right" vertical="center"/>
    </xf>
    <xf numFmtId="165" fontId="73" fillId="61" borderId="9" xfId="840" applyFill="1" applyBorder="1" applyAlignment="1">
      <alignment horizontal="center" vertical="center"/>
    </xf>
    <xf numFmtId="166" fontId="4" fillId="52" borderId="0" xfId="828" applyFont="1" applyFill="1" applyAlignment="1" applyProtection="1">
      <alignment vertical="center"/>
      <protection locked="0"/>
    </xf>
    <xf numFmtId="166" fontId="4" fillId="52" borderId="0" xfId="828" applyFont="1" applyFill="1" applyAlignment="1" applyProtection="1">
      <alignment vertical="center" wrapText="1"/>
      <protection locked="0"/>
    </xf>
    <xf numFmtId="166" fontId="4" fillId="52" borderId="0" xfId="0" applyNumberFormat="1" applyFont="1" applyFill="1" applyAlignment="1" applyProtection="1">
      <alignment vertical="center" wrapText="1"/>
      <protection locked="0"/>
    </xf>
    <xf numFmtId="0" fontId="7" fillId="74" borderId="55" xfId="0" applyFont="1" applyFill="1" applyBorder="1" applyAlignment="1"/>
    <xf numFmtId="9" fontId="4" fillId="53" borderId="0" xfId="829" applyFont="1" applyFill="1" applyBorder="1" applyAlignment="1" applyProtection="1">
      <alignment horizontal="center" vertical="center" wrapText="1"/>
      <protection locked="0"/>
    </xf>
    <xf numFmtId="10" fontId="4" fillId="60" borderId="0" xfId="829" applyNumberFormat="1" applyFont="1" applyFill="1" applyBorder="1" applyAlignment="1" applyProtection="1">
      <alignment horizontal="right" vertical="center" wrapText="1"/>
      <protection locked="0"/>
    </xf>
    <xf numFmtId="10" fontId="56" fillId="58" borderId="0" xfId="829" applyNumberFormat="1" applyFont="1" applyFill="1" applyBorder="1" applyAlignment="1" applyProtection="1">
      <alignment horizontal="center" vertical="center"/>
      <protection locked="0"/>
    </xf>
    <xf numFmtId="9" fontId="4" fillId="60" borderId="0" xfId="829" applyFont="1" applyFill="1" applyBorder="1" applyAlignment="1" applyProtection="1">
      <alignment horizontal="right" vertical="center" wrapText="1"/>
      <protection locked="0"/>
    </xf>
    <xf numFmtId="165" fontId="56" fillId="58" borderId="0" xfId="829" applyNumberFormat="1" applyFont="1" applyFill="1" applyBorder="1" applyAlignment="1" applyProtection="1">
      <alignment horizontal="center" vertical="center"/>
      <protection locked="0"/>
    </xf>
    <xf numFmtId="166" fontId="56" fillId="58" borderId="0" xfId="828" applyFont="1" applyFill="1" applyBorder="1" applyAlignment="1" applyProtection="1">
      <alignment horizontal="center" vertical="center"/>
      <protection locked="0"/>
    </xf>
    <xf numFmtId="190" fontId="56" fillId="58" borderId="0" xfId="828" applyNumberFormat="1" applyFont="1" applyFill="1" applyBorder="1" applyAlignment="1" applyProtection="1">
      <alignment horizontal="center" vertical="center"/>
      <protection locked="0"/>
    </xf>
    <xf numFmtId="44" fontId="3" fillId="0" borderId="0" xfId="0" applyNumberFormat="1" applyFont="1"/>
    <xf numFmtId="191" fontId="3" fillId="0" borderId="0" xfId="829" applyNumberFormat="1" applyFont="1"/>
    <xf numFmtId="184" fontId="1" fillId="64" borderId="0" xfId="830" applyNumberFormat="1" applyFill="1"/>
    <xf numFmtId="164" fontId="1" fillId="0" borderId="0" xfId="830" applyNumberFormat="1"/>
    <xf numFmtId="2" fontId="4" fillId="52" borderId="0" xfId="0" applyNumberFormat="1" applyFont="1" applyFill="1" applyAlignment="1" applyProtection="1">
      <alignment vertical="center"/>
      <protection locked="0"/>
    </xf>
    <xf numFmtId="43" fontId="4" fillId="52" borderId="0" xfId="0" applyNumberFormat="1" applyFont="1" applyFill="1" applyAlignment="1" applyProtection="1">
      <alignment vertical="center" wrapText="1"/>
      <protection locked="0"/>
    </xf>
    <xf numFmtId="2" fontId="4" fillId="52" borderId="0" xfId="0" applyNumberFormat="1" applyFont="1" applyFill="1" applyAlignment="1" applyProtection="1">
      <alignment vertical="center" wrapText="1"/>
      <protection locked="0"/>
    </xf>
    <xf numFmtId="192" fontId="52" fillId="0" borderId="55" xfId="828" applyNumberFormat="1" applyFont="1" applyBorder="1" applyAlignment="1">
      <alignment vertical="center" wrapText="1"/>
    </xf>
    <xf numFmtId="193" fontId="4" fillId="52" borderId="0" xfId="0" applyNumberFormat="1" applyFont="1" applyFill="1" applyAlignment="1" applyProtection="1">
      <alignment vertical="center" wrapText="1"/>
      <protection locked="0"/>
    </xf>
    <xf numFmtId="194" fontId="4" fillId="52" borderId="0" xfId="828" applyNumberFormat="1" applyFont="1" applyFill="1" applyAlignment="1" applyProtection="1">
      <alignment vertical="center" wrapText="1"/>
      <protection locked="0"/>
    </xf>
    <xf numFmtId="4" fontId="4" fillId="52" borderId="0" xfId="0" applyNumberFormat="1" applyFont="1" applyFill="1" applyAlignment="1" applyProtection="1">
      <alignment vertical="center" wrapText="1"/>
      <protection locked="0"/>
    </xf>
    <xf numFmtId="4" fontId="4" fillId="52" borderId="0" xfId="0" applyNumberFormat="1" applyFont="1" applyFill="1" applyAlignment="1" applyProtection="1">
      <alignment vertical="center"/>
      <protection locked="0"/>
    </xf>
    <xf numFmtId="0" fontId="4" fillId="52" borderId="0" xfId="0" applyFont="1" applyFill="1" applyAlignment="1" applyProtection="1">
      <alignment horizontal="center" vertical="center" wrapText="1"/>
      <protection locked="0"/>
    </xf>
    <xf numFmtId="1" fontId="55" fillId="52" borderId="0" xfId="0" applyNumberFormat="1" applyFont="1" applyFill="1" applyAlignment="1" applyProtection="1">
      <alignment horizontal="center" vertical="center" wrapText="1"/>
      <protection locked="0"/>
    </xf>
    <xf numFmtId="1" fontId="55" fillId="52" borderId="0" xfId="0" applyNumberFormat="1" applyFont="1" applyFill="1" applyAlignment="1" applyProtection="1">
      <alignment horizontal="center" vertical="center"/>
      <protection locked="0"/>
    </xf>
    <xf numFmtId="1" fontId="4" fillId="58" borderId="20" xfId="0" applyNumberFormat="1" applyFont="1" applyFill="1" applyBorder="1" applyAlignment="1" applyProtection="1">
      <alignment horizontal="right" vertical="center" wrapText="1"/>
      <protection locked="0"/>
    </xf>
    <xf numFmtId="1" fontId="4" fillId="58" borderId="19" xfId="0" applyNumberFormat="1" applyFont="1" applyFill="1" applyBorder="1" applyAlignment="1" applyProtection="1">
      <alignment horizontal="right" vertical="center" wrapText="1"/>
      <protection locked="0"/>
    </xf>
    <xf numFmtId="1" fontId="4" fillId="58" borderId="21" xfId="0" applyNumberFormat="1" applyFont="1" applyFill="1" applyBorder="1" applyAlignment="1" applyProtection="1">
      <alignment horizontal="right" vertical="center" wrapText="1"/>
      <protection locked="0"/>
    </xf>
    <xf numFmtId="1" fontId="4" fillId="58" borderId="20" xfId="0" applyNumberFormat="1" applyFont="1" applyFill="1" applyBorder="1" applyAlignment="1" applyProtection="1">
      <alignment horizontal="right" vertical="center"/>
      <protection locked="0"/>
    </xf>
    <xf numFmtId="1" fontId="4" fillId="58" borderId="19" xfId="0" applyNumberFormat="1" applyFont="1" applyFill="1" applyBorder="1" applyAlignment="1" applyProtection="1">
      <alignment horizontal="right" vertical="center"/>
      <protection locked="0"/>
    </xf>
    <xf numFmtId="0" fontId="58" fillId="52" borderId="0" xfId="0" applyFont="1" applyFill="1" applyAlignment="1" applyProtection="1">
      <alignment horizontal="left" vertical="center"/>
      <protection locked="0"/>
    </xf>
    <xf numFmtId="1" fontId="4" fillId="60" borderId="20" xfId="0" applyNumberFormat="1" applyFont="1" applyFill="1" applyBorder="1" applyAlignment="1" applyProtection="1">
      <alignment horizontal="right" vertical="center" wrapText="1"/>
      <protection locked="0"/>
    </xf>
    <xf numFmtId="1" fontId="4" fillId="60" borderId="19" xfId="0" applyNumberFormat="1" applyFont="1" applyFill="1" applyBorder="1" applyAlignment="1" applyProtection="1">
      <alignment horizontal="right" vertical="center" wrapText="1"/>
      <protection locked="0"/>
    </xf>
    <xf numFmtId="1" fontId="4" fillId="60" borderId="21" xfId="0" applyNumberFormat="1" applyFont="1" applyFill="1" applyBorder="1" applyAlignment="1" applyProtection="1">
      <alignment horizontal="right" vertical="center" wrapText="1"/>
      <protection locked="0"/>
    </xf>
    <xf numFmtId="10" fontId="56" fillId="58" borderId="52" xfId="829" applyNumberFormat="1" applyFont="1" applyFill="1" applyBorder="1" applyAlignment="1" applyProtection="1">
      <alignment horizontal="center" vertical="center" wrapText="1"/>
      <protection locked="0"/>
    </xf>
    <xf numFmtId="10" fontId="56" fillId="58" borderId="53" xfId="829" applyNumberFormat="1" applyFont="1" applyFill="1" applyBorder="1" applyAlignment="1" applyProtection="1">
      <alignment horizontal="center" vertical="center" wrapText="1"/>
      <protection locked="0"/>
    </xf>
    <xf numFmtId="10" fontId="56" fillId="58" borderId="54" xfId="829" applyNumberFormat="1" applyFont="1" applyFill="1" applyBorder="1" applyAlignment="1" applyProtection="1">
      <alignment horizontal="center" vertical="center" wrapText="1"/>
      <protection locked="0"/>
    </xf>
    <xf numFmtId="1" fontId="4" fillId="60" borderId="61" xfId="0" applyNumberFormat="1" applyFont="1" applyFill="1" applyBorder="1" applyAlignment="1" applyProtection="1">
      <alignment horizontal="right" vertical="center" wrapText="1"/>
      <protection locked="0"/>
    </xf>
    <xf numFmtId="1" fontId="4" fillId="60" borderId="62" xfId="0" applyNumberFormat="1" applyFont="1" applyFill="1" applyBorder="1" applyAlignment="1" applyProtection="1">
      <alignment horizontal="right" vertical="center" wrapText="1"/>
      <protection locked="0"/>
    </xf>
    <xf numFmtId="1" fontId="4" fillId="60" borderId="63" xfId="0" applyNumberFormat="1" applyFont="1" applyFill="1" applyBorder="1" applyAlignment="1" applyProtection="1">
      <alignment horizontal="right" vertical="center" wrapText="1"/>
      <protection locked="0"/>
    </xf>
    <xf numFmtId="1" fontId="55" fillId="52" borderId="42" xfId="0" applyNumberFormat="1" applyFont="1" applyFill="1" applyBorder="1" applyAlignment="1" applyProtection="1">
      <alignment horizontal="center" vertical="center" wrapText="1"/>
      <protection locked="0"/>
    </xf>
    <xf numFmtId="1" fontId="55" fillId="52" borderId="0" xfId="0" applyNumberFormat="1" applyFont="1" applyFill="1" applyBorder="1" applyAlignment="1" applyProtection="1">
      <alignment horizontal="center" vertical="center" wrapText="1"/>
      <protection locked="0"/>
    </xf>
    <xf numFmtId="1" fontId="55" fillId="52" borderId="43" xfId="0" applyNumberFormat="1" applyFont="1" applyFill="1" applyBorder="1" applyAlignment="1" applyProtection="1">
      <alignment horizontal="center" vertical="center" wrapText="1"/>
      <protection locked="0"/>
    </xf>
    <xf numFmtId="1" fontId="55" fillId="52" borderId="42" xfId="0" applyNumberFormat="1" applyFont="1" applyFill="1" applyBorder="1" applyAlignment="1" applyProtection="1">
      <alignment horizontal="center" vertical="center"/>
      <protection locked="0"/>
    </xf>
    <xf numFmtId="1" fontId="55" fillId="52" borderId="0" xfId="0" applyNumberFormat="1" applyFont="1" applyFill="1" applyBorder="1" applyAlignment="1" applyProtection="1">
      <alignment horizontal="center" vertical="center"/>
      <protection locked="0"/>
    </xf>
    <xf numFmtId="1" fontId="55" fillId="52" borderId="43" xfId="0" applyNumberFormat="1" applyFont="1" applyFill="1" applyBorder="1" applyAlignment="1" applyProtection="1">
      <alignment horizontal="center" vertical="center"/>
      <protection locked="0"/>
    </xf>
    <xf numFmtId="1" fontId="4" fillId="60" borderId="60" xfId="0" applyNumberFormat="1" applyFont="1" applyFill="1" applyBorder="1" applyAlignment="1" applyProtection="1">
      <alignment horizontal="right" vertical="center" wrapText="1"/>
      <protection locked="0"/>
    </xf>
    <xf numFmtId="10" fontId="56" fillId="58" borderId="23" xfId="829" applyNumberFormat="1" applyFont="1" applyFill="1" applyBorder="1" applyAlignment="1" applyProtection="1">
      <alignment horizontal="center" vertical="center" wrapText="1"/>
      <protection locked="0"/>
    </xf>
    <xf numFmtId="10" fontId="56" fillId="58" borderId="27" xfId="829" applyNumberFormat="1" applyFont="1" applyFill="1" applyBorder="1" applyAlignment="1" applyProtection="1">
      <alignment horizontal="center" vertical="center" wrapText="1"/>
      <protection locked="0"/>
    </xf>
    <xf numFmtId="10" fontId="56" fillId="58" borderId="22" xfId="829" applyNumberFormat="1" applyFont="1" applyFill="1" applyBorder="1" applyAlignment="1" applyProtection="1">
      <alignment horizontal="center" vertical="center" wrapText="1"/>
      <protection locked="0"/>
    </xf>
    <xf numFmtId="10" fontId="56" fillId="58" borderId="23" xfId="829" applyNumberFormat="1" applyFont="1" applyFill="1" applyBorder="1" applyAlignment="1" applyProtection="1">
      <alignment horizontal="center" vertical="center"/>
      <protection locked="0"/>
    </xf>
    <xf numFmtId="10" fontId="56" fillId="58" borderId="27" xfId="829" applyNumberFormat="1" applyFont="1" applyFill="1" applyBorder="1" applyAlignment="1" applyProtection="1">
      <alignment horizontal="center" vertical="center"/>
      <protection locked="0"/>
    </xf>
    <xf numFmtId="10" fontId="56" fillId="58" borderId="22" xfId="829" applyNumberFormat="1" applyFont="1" applyFill="1" applyBorder="1" applyAlignment="1" applyProtection="1">
      <alignment horizontal="center" vertical="center"/>
      <protection locked="0"/>
    </xf>
    <xf numFmtId="0" fontId="68" fillId="59" borderId="20" xfId="830" applyFont="1" applyFill="1" applyBorder="1" applyAlignment="1" applyProtection="1">
      <alignment horizontal="center" vertical="center" wrapText="1"/>
      <protection locked="0"/>
    </xf>
    <xf numFmtId="0" fontId="68" fillId="59" borderId="19" xfId="830" applyFont="1" applyFill="1" applyBorder="1" applyAlignment="1" applyProtection="1">
      <alignment horizontal="center" vertical="center" wrapText="1"/>
      <protection locked="0"/>
    </xf>
    <xf numFmtId="185" fontId="69" fillId="63" borderId="23" xfId="830" applyNumberFormat="1" applyFont="1" applyFill="1" applyBorder="1" applyAlignment="1" applyProtection="1">
      <alignment horizontal="center" vertical="center" wrapText="1"/>
      <protection locked="0"/>
    </xf>
    <xf numFmtId="185" fontId="69" fillId="63" borderId="27" xfId="830" applyNumberFormat="1" applyFont="1" applyFill="1" applyBorder="1" applyAlignment="1" applyProtection="1">
      <alignment horizontal="center" vertical="center" wrapText="1"/>
      <protection locked="0"/>
    </xf>
    <xf numFmtId="185" fontId="69" fillId="63" borderId="22" xfId="830" applyNumberFormat="1" applyFont="1" applyFill="1" applyBorder="1" applyAlignment="1" applyProtection="1">
      <alignment horizontal="center" vertical="center" wrapText="1"/>
      <protection locked="0"/>
    </xf>
    <xf numFmtId="49" fontId="1" fillId="52" borderId="0" xfId="830" applyNumberFormat="1" applyFill="1" applyAlignment="1" applyProtection="1">
      <alignment horizontal="center" vertical="justify"/>
      <protection locked="0"/>
    </xf>
    <xf numFmtId="1" fontId="67" fillId="52" borderId="0" xfId="830" applyNumberFormat="1" applyFont="1" applyFill="1" applyAlignment="1" applyProtection="1">
      <alignment horizontal="center" vertical="center"/>
      <protection locked="0"/>
    </xf>
    <xf numFmtId="165" fontId="58" fillId="57" borderId="35" xfId="0" applyNumberFormat="1" applyFont="1" applyFill="1" applyBorder="1" applyAlignment="1">
      <alignment horizontal="center" vertical="center"/>
    </xf>
    <xf numFmtId="165" fontId="58" fillId="57" borderId="9" xfId="0" applyNumberFormat="1" applyFont="1" applyFill="1" applyBorder="1" applyAlignment="1">
      <alignment horizontal="center" vertical="center"/>
    </xf>
    <xf numFmtId="0" fontId="58" fillId="57" borderId="35" xfId="0" applyFont="1" applyFill="1" applyBorder="1" applyAlignment="1">
      <alignment horizontal="center" vertical="center" wrapText="1"/>
    </xf>
    <xf numFmtId="0" fontId="58" fillId="57" borderId="9" xfId="0" applyFont="1" applyFill="1" applyBorder="1" applyAlignment="1">
      <alignment horizontal="center" vertical="center" wrapText="1"/>
    </xf>
    <xf numFmtId="0" fontId="58" fillId="57" borderId="34" xfId="0" applyFont="1" applyFill="1" applyBorder="1" applyAlignment="1">
      <alignment horizontal="center" vertical="center"/>
    </xf>
    <xf numFmtId="0" fontId="58" fillId="57" borderId="37" xfId="0" applyFont="1" applyFill="1" applyBorder="1" applyAlignment="1">
      <alignment horizontal="center" vertical="center"/>
    </xf>
    <xf numFmtId="0" fontId="58" fillId="57" borderId="64" xfId="0" applyFont="1" applyFill="1" applyBorder="1" applyAlignment="1">
      <alignment horizontal="center" vertical="center"/>
    </xf>
    <xf numFmtId="0" fontId="58" fillId="57" borderId="65" xfId="0" applyFont="1" applyFill="1" applyBorder="1" applyAlignment="1">
      <alignment horizontal="center" vertical="center"/>
    </xf>
    <xf numFmtId="0" fontId="58" fillId="57" borderId="67" xfId="0" applyFont="1" applyFill="1" applyBorder="1" applyAlignment="1">
      <alignment horizontal="center" vertical="center"/>
    </xf>
    <xf numFmtId="10" fontId="58" fillId="57" borderId="35" xfId="0" applyNumberFormat="1" applyFont="1" applyFill="1" applyBorder="1" applyAlignment="1">
      <alignment horizontal="center" vertical="center" wrapText="1"/>
    </xf>
    <xf numFmtId="10" fontId="58" fillId="57" borderId="9" xfId="0" applyNumberFormat="1" applyFont="1" applyFill="1" applyBorder="1" applyAlignment="1">
      <alignment horizontal="center" vertical="center" wrapText="1"/>
    </xf>
    <xf numFmtId="0" fontId="58" fillId="57" borderId="66" xfId="0" applyFont="1" applyFill="1" applyBorder="1" applyAlignment="1">
      <alignment horizontal="center" vertical="center"/>
    </xf>
    <xf numFmtId="0" fontId="58" fillId="57" borderId="9" xfId="0" applyFont="1" applyFill="1" applyBorder="1" applyAlignment="1">
      <alignment horizontal="center"/>
    </xf>
    <xf numFmtId="4" fontId="6" fillId="72" borderId="9" xfId="838" applyNumberFormat="1" applyFont="1" applyFill="1" applyBorder="1" applyAlignment="1" applyProtection="1">
      <alignment horizontal="center" vertical="center" wrapText="1"/>
    </xf>
    <xf numFmtId="49" fontId="79" fillId="72" borderId="9" xfId="838" applyNumberFormat="1" applyFont="1" applyFill="1" applyBorder="1" applyAlignment="1" applyProtection="1">
      <alignment horizontal="center" vertical="center"/>
    </xf>
    <xf numFmtId="0" fontId="85" fillId="72" borderId="9" xfId="839" applyFont="1" applyFill="1" applyBorder="1" applyAlignment="1">
      <alignment horizontal="center" vertical="center" wrapText="1"/>
    </xf>
    <xf numFmtId="0" fontId="6" fillId="72" borderId="9" xfId="839" applyFont="1" applyFill="1" applyBorder="1" applyAlignment="1">
      <alignment horizontal="center" vertical="center" wrapText="1"/>
    </xf>
    <xf numFmtId="187" fontId="6" fillId="72" borderId="9" xfId="839" applyNumberFormat="1" applyFont="1" applyFill="1" applyBorder="1" applyAlignment="1">
      <alignment horizontal="center" vertical="center" wrapText="1"/>
    </xf>
    <xf numFmtId="4" fontId="6" fillId="72" borderId="9" xfId="839" applyNumberFormat="1" applyFont="1" applyFill="1" applyBorder="1" applyAlignment="1">
      <alignment horizontal="center" vertical="center" wrapText="1"/>
    </xf>
    <xf numFmtId="49" fontId="6" fillId="70" borderId="0" xfId="838" applyNumberFormat="1" applyFont="1" applyFill="1" applyBorder="1" applyAlignment="1" applyProtection="1">
      <alignment horizontal="left" vertical="center" wrapText="1"/>
    </xf>
    <xf numFmtId="1" fontId="4" fillId="60" borderId="20" xfId="0" applyNumberFormat="1" applyFont="1" applyFill="1" applyBorder="1" applyAlignment="1" applyProtection="1">
      <alignment horizontal="center" vertical="center"/>
      <protection locked="0"/>
    </xf>
    <xf numFmtId="1" fontId="4" fillId="60" borderId="19" xfId="0" applyNumberFormat="1" applyFont="1" applyFill="1" applyBorder="1" applyAlignment="1" applyProtection="1">
      <alignment horizontal="center" vertical="center"/>
      <protection locked="0"/>
    </xf>
    <xf numFmtId="0" fontId="77" fillId="64" borderId="46" xfId="834" applyFont="1" applyFill="1" applyBorder="1" applyAlignment="1">
      <alignment horizontal="center" vertical="center" wrapText="1"/>
    </xf>
    <xf numFmtId="0" fontId="77" fillId="64" borderId="47" xfId="834" applyFont="1" applyFill="1" applyBorder="1" applyAlignment="1">
      <alignment horizontal="center" vertical="center" wrapText="1"/>
    </xf>
    <xf numFmtId="0" fontId="77" fillId="64" borderId="48" xfId="834" applyFont="1" applyFill="1" applyBorder="1" applyAlignment="1">
      <alignment horizontal="center" vertical="center" wrapText="1"/>
    </xf>
    <xf numFmtId="0" fontId="77" fillId="64" borderId="42" xfId="834" applyFont="1" applyFill="1" applyBorder="1" applyAlignment="1">
      <alignment horizontal="center" vertical="center" wrapText="1"/>
    </xf>
    <xf numFmtId="0" fontId="77" fillId="64" borderId="0" xfId="834" applyFont="1" applyFill="1" applyAlignment="1">
      <alignment horizontal="center" vertical="center" wrapText="1"/>
    </xf>
    <xf numFmtId="0" fontId="77" fillId="64" borderId="43" xfId="834" applyFont="1" applyFill="1" applyBorder="1" applyAlignment="1">
      <alignment horizontal="center" vertical="center" wrapText="1"/>
    </xf>
    <xf numFmtId="0" fontId="77" fillId="64" borderId="44" xfId="834" applyFont="1" applyFill="1" applyBorder="1" applyAlignment="1">
      <alignment horizontal="center" vertical="center" wrapText="1"/>
    </xf>
    <xf numFmtId="0" fontId="77" fillId="64" borderId="10" xfId="834" applyFont="1" applyFill="1" applyBorder="1" applyAlignment="1">
      <alignment horizontal="center" vertical="center" wrapText="1"/>
    </xf>
    <xf numFmtId="0" fontId="77" fillId="64" borderId="45" xfId="834" applyFont="1" applyFill="1" applyBorder="1" applyAlignment="1">
      <alignment horizontal="center" vertical="center" wrapText="1"/>
    </xf>
    <xf numFmtId="0" fontId="7" fillId="64" borderId="28" xfId="834" applyFill="1" applyBorder="1" applyAlignment="1">
      <alignment horizontal="center" vertical="center"/>
    </xf>
    <xf numFmtId="0" fontId="7" fillId="64" borderId="29" xfId="834" applyFill="1" applyBorder="1" applyAlignment="1">
      <alignment horizontal="center" vertical="center" wrapText="1"/>
    </xf>
    <xf numFmtId="0" fontId="7" fillId="64" borderId="33" xfId="834" applyFill="1" applyBorder="1" applyAlignment="1">
      <alignment horizontal="center" vertical="center" wrapText="1"/>
    </xf>
    <xf numFmtId="0" fontId="77" fillId="0" borderId="30" xfId="834" applyFont="1" applyBorder="1" applyAlignment="1">
      <alignment horizontal="center" vertical="center"/>
    </xf>
    <xf numFmtId="0" fontId="77" fillId="0" borderId="31" xfId="834" applyFont="1" applyBorder="1" applyAlignment="1">
      <alignment horizontal="center" vertical="center"/>
    </xf>
    <xf numFmtId="0" fontId="77" fillId="0" borderId="32" xfId="834" applyFont="1" applyBorder="1" applyAlignment="1">
      <alignment horizontal="center" vertical="center"/>
    </xf>
    <xf numFmtId="0" fontId="7" fillId="64" borderId="0" xfId="834" applyFill="1" applyAlignment="1">
      <alignment horizontal="center"/>
    </xf>
    <xf numFmtId="0" fontId="7" fillId="64" borderId="30" xfId="834" applyFill="1" applyBorder="1" applyAlignment="1">
      <alignment horizontal="right"/>
    </xf>
    <xf numFmtId="0" fontId="7" fillId="64" borderId="32" xfId="834" applyFill="1" applyBorder="1" applyAlignment="1">
      <alignment horizontal="right"/>
    </xf>
    <xf numFmtId="0" fontId="7" fillId="64" borderId="0" xfId="834" applyFill="1" applyAlignment="1">
      <alignment horizontal="left" wrapText="1"/>
    </xf>
    <xf numFmtId="0" fontId="52" fillId="64" borderId="30" xfId="0" applyFont="1" applyFill="1" applyBorder="1" applyAlignment="1">
      <alignment horizontal="center"/>
    </xf>
    <xf numFmtId="0" fontId="52" fillId="64" borderId="31" xfId="0" applyFont="1" applyFill="1" applyBorder="1" applyAlignment="1">
      <alignment horizontal="center"/>
    </xf>
    <xf numFmtId="0" fontId="0" fillId="64" borderId="46" xfId="0" applyFill="1" applyBorder="1" applyAlignment="1">
      <alignment horizontal="center" vertical="center"/>
    </xf>
    <xf numFmtId="0" fontId="0" fillId="64" borderId="44" xfId="0" applyFill="1" applyBorder="1" applyAlignment="1">
      <alignment horizontal="center" vertical="center"/>
    </xf>
    <xf numFmtId="0" fontId="0" fillId="64" borderId="46" xfId="0" applyFill="1" applyBorder="1" applyAlignment="1">
      <alignment horizontal="left" vertical="center"/>
    </xf>
    <xf numFmtId="0" fontId="0" fillId="64" borderId="47" xfId="0" applyFill="1" applyBorder="1" applyAlignment="1">
      <alignment horizontal="left" vertical="center"/>
    </xf>
    <xf numFmtId="0" fontId="0" fillId="64" borderId="48" xfId="0" applyFill="1" applyBorder="1" applyAlignment="1">
      <alignment horizontal="left" vertical="center"/>
    </xf>
    <xf numFmtId="2" fontId="0" fillId="48" borderId="29" xfId="0" applyNumberFormat="1" applyFill="1" applyBorder="1" applyAlignment="1">
      <alignment horizontal="center" vertical="center"/>
    </xf>
    <xf numFmtId="2" fontId="0" fillId="48" borderId="33" xfId="0" applyNumberFormat="1" applyFill="1" applyBorder="1" applyAlignment="1">
      <alignment horizontal="center" vertical="center"/>
    </xf>
    <xf numFmtId="0" fontId="0" fillId="64" borderId="44" xfId="0" applyFill="1" applyBorder="1" applyAlignment="1">
      <alignment horizontal="left" vertical="center"/>
    </xf>
    <xf numFmtId="0" fontId="0" fillId="64" borderId="10" xfId="0" applyFill="1" applyBorder="1" applyAlignment="1">
      <alignment horizontal="left" vertical="center"/>
    </xf>
    <xf numFmtId="0" fontId="0" fillId="64" borderId="45" xfId="0" applyFill="1" applyBorder="1" applyAlignment="1">
      <alignment horizontal="left" vertical="center"/>
    </xf>
    <xf numFmtId="0" fontId="52" fillId="64" borderId="30" xfId="0" applyFont="1" applyFill="1" applyBorder="1" applyAlignment="1">
      <alignment horizontal="left" vertical="center"/>
    </xf>
    <xf numFmtId="0" fontId="52" fillId="64" borderId="31" xfId="0" applyFont="1" applyFill="1" applyBorder="1" applyAlignment="1">
      <alignment horizontal="left" vertical="center"/>
    </xf>
    <xf numFmtId="0" fontId="52" fillId="64" borderId="32" xfId="0" applyFont="1" applyFill="1" applyBorder="1" applyAlignment="1">
      <alignment horizontal="left" vertical="center"/>
    </xf>
    <xf numFmtId="0" fontId="0" fillId="64" borderId="30" xfId="0" applyFill="1" applyBorder="1" applyAlignment="1">
      <alignment horizontal="left" vertical="center"/>
    </xf>
    <xf numFmtId="0" fontId="0" fillId="64" borderId="31" xfId="0" applyFill="1" applyBorder="1" applyAlignment="1">
      <alignment horizontal="left" vertical="center"/>
    </xf>
    <xf numFmtId="0" fontId="0" fillId="64" borderId="32" xfId="0" applyFill="1" applyBorder="1" applyAlignment="1">
      <alignment horizontal="left" vertical="center"/>
    </xf>
    <xf numFmtId="0" fontId="52" fillId="64" borderId="30" xfId="0" applyFont="1" applyFill="1" applyBorder="1" applyAlignment="1">
      <alignment horizontal="center" vertical="center"/>
    </xf>
    <xf numFmtId="0" fontId="52" fillId="64" borderId="31" xfId="0" applyFont="1" applyFill="1" applyBorder="1" applyAlignment="1">
      <alignment horizontal="center" vertical="center"/>
    </xf>
    <xf numFmtId="0" fontId="52" fillId="64" borderId="32" xfId="0" applyFont="1" applyFill="1" applyBorder="1" applyAlignment="1">
      <alignment horizontal="center" vertical="center"/>
    </xf>
    <xf numFmtId="49" fontId="82" fillId="69" borderId="46" xfId="836" applyNumberFormat="1" applyFont="1" applyFill="1" applyBorder="1" applyAlignment="1">
      <alignment horizontal="center" vertical="center"/>
    </xf>
    <xf numFmtId="49" fontId="82" fillId="69" borderId="47" xfId="836" applyNumberFormat="1" applyFont="1" applyFill="1" applyBorder="1" applyAlignment="1">
      <alignment horizontal="center" vertical="center"/>
    </xf>
    <xf numFmtId="49" fontId="82" fillId="69" borderId="48" xfId="836" applyNumberFormat="1" applyFont="1" applyFill="1" applyBorder="1" applyAlignment="1">
      <alignment horizontal="center" vertical="center"/>
    </xf>
    <xf numFmtId="0" fontId="4" fillId="71" borderId="42" xfId="0" applyFont="1" applyFill="1" applyBorder="1" applyAlignment="1">
      <alignment horizontal="center"/>
    </xf>
    <xf numFmtId="0" fontId="4" fillId="71" borderId="0" xfId="0" applyFont="1" applyFill="1" applyAlignment="1">
      <alignment horizontal="center"/>
    </xf>
    <xf numFmtId="0" fontId="4" fillId="71" borderId="43" xfId="0" applyFont="1" applyFill="1" applyBorder="1" applyAlignment="1">
      <alignment horizontal="center"/>
    </xf>
    <xf numFmtId="0" fontId="58" fillId="64" borderId="30" xfId="0" applyFont="1" applyFill="1" applyBorder="1" applyAlignment="1">
      <alignment horizontal="center"/>
    </xf>
    <xf numFmtId="0" fontId="58" fillId="64" borderId="31" xfId="0" applyFont="1" applyFill="1" applyBorder="1" applyAlignment="1">
      <alignment horizontal="center"/>
    </xf>
    <xf numFmtId="0" fontId="58" fillId="64" borderId="32" xfId="0" applyFont="1" applyFill="1" applyBorder="1" applyAlignment="1">
      <alignment horizontal="center"/>
    </xf>
    <xf numFmtId="0" fontId="58" fillId="64" borderId="30" xfId="0" applyFont="1" applyFill="1" applyBorder="1" applyAlignment="1">
      <alignment horizontal="center" vertical="center"/>
    </xf>
    <xf numFmtId="0" fontId="58" fillId="64" borderId="31" xfId="0" applyFont="1" applyFill="1" applyBorder="1" applyAlignment="1">
      <alignment horizontal="center" vertical="center"/>
    </xf>
    <xf numFmtId="0" fontId="58" fillId="64" borderId="32" xfId="0" applyFont="1" applyFill="1" applyBorder="1" applyAlignment="1">
      <alignment horizontal="center" vertical="center"/>
    </xf>
    <xf numFmtId="1" fontId="55" fillId="52" borderId="0" xfId="0" applyNumberFormat="1" applyFont="1" applyFill="1" applyAlignment="1" applyProtection="1">
      <alignment vertical="center"/>
      <protection locked="0"/>
    </xf>
  </cellXfs>
  <cellStyles count="844">
    <cellStyle name="_CRONOGRAMA MODELO" xfId="1" xr:uid="{00000000-0005-0000-0000-000000000000}"/>
    <cellStyle name="_CRONOGRAMA MODELO_SERVIÇOS &amp; COMPOSIÇÕES (COR-SUDE2012) SUELY" xfId="2" xr:uid="{00000000-0005-0000-0000-000001000000}"/>
    <cellStyle name="_Teixeira Soares - EE Guarauna - REVISÃO - ADITIVO" xfId="3" xr:uid="{00000000-0005-0000-0000-000002000000}"/>
    <cellStyle name="_Teixeira Soares - EE Guarauna - REVISÃO - ADITIVO_SERVIÇOS &amp; COMPOSIÇÕES (COR-SUDE2012) SUELY" xfId="4" xr:uid="{00000000-0005-0000-0000-000003000000}"/>
    <cellStyle name="20% - Cor1" xfId="5" xr:uid="{00000000-0005-0000-0000-000004000000}"/>
    <cellStyle name="20% - Cor1 2" xfId="6" xr:uid="{00000000-0005-0000-0000-000005000000}"/>
    <cellStyle name="20% - Cor2" xfId="7" xr:uid="{00000000-0005-0000-0000-000006000000}"/>
    <cellStyle name="20% - Cor2 2" xfId="8" xr:uid="{00000000-0005-0000-0000-000007000000}"/>
    <cellStyle name="20% - Cor3" xfId="9" xr:uid="{00000000-0005-0000-0000-000008000000}"/>
    <cellStyle name="20% - Cor3 2" xfId="10" xr:uid="{00000000-0005-0000-0000-000009000000}"/>
    <cellStyle name="20% - Cor4" xfId="11" xr:uid="{00000000-0005-0000-0000-00000A000000}"/>
    <cellStyle name="20% - Cor4 2" xfId="12" xr:uid="{00000000-0005-0000-0000-00000B000000}"/>
    <cellStyle name="20% - Cor5" xfId="13" xr:uid="{00000000-0005-0000-0000-00000C000000}"/>
    <cellStyle name="20% - Cor5 2" xfId="14" xr:uid="{00000000-0005-0000-0000-00000D000000}"/>
    <cellStyle name="20% - Cor6" xfId="15" xr:uid="{00000000-0005-0000-0000-00000E000000}"/>
    <cellStyle name="20% - Cor6 2" xfId="16" xr:uid="{00000000-0005-0000-0000-00000F000000}"/>
    <cellStyle name="20% - Ênfase1 2" xfId="17" xr:uid="{00000000-0005-0000-0000-000010000000}"/>
    <cellStyle name="20% - Ênfase1 2 2" xfId="18" xr:uid="{00000000-0005-0000-0000-000011000000}"/>
    <cellStyle name="20% - Ênfase1 2 2 2" xfId="19" xr:uid="{00000000-0005-0000-0000-000012000000}"/>
    <cellStyle name="20% - Ênfase1 2 3" xfId="20" xr:uid="{00000000-0005-0000-0000-000013000000}"/>
    <cellStyle name="20% - Ênfase1 2 4" xfId="21" xr:uid="{00000000-0005-0000-0000-000014000000}"/>
    <cellStyle name="20% - Ênfase1 3" xfId="22" xr:uid="{00000000-0005-0000-0000-000015000000}"/>
    <cellStyle name="20% - Ênfase1 3 2" xfId="23" xr:uid="{00000000-0005-0000-0000-000016000000}"/>
    <cellStyle name="20% - Ênfase1 3 3" xfId="24" xr:uid="{00000000-0005-0000-0000-000017000000}"/>
    <cellStyle name="20% - Ênfase1 4" xfId="25" xr:uid="{00000000-0005-0000-0000-000018000000}"/>
    <cellStyle name="20% - Ênfase1 5" xfId="26" xr:uid="{00000000-0005-0000-0000-000019000000}"/>
    <cellStyle name="20% - Ênfase2 2" xfId="27" xr:uid="{00000000-0005-0000-0000-00001A000000}"/>
    <cellStyle name="20% - Ênfase2 2 2" xfId="28" xr:uid="{00000000-0005-0000-0000-00001B000000}"/>
    <cellStyle name="20% - Ênfase2 2 2 2" xfId="29" xr:uid="{00000000-0005-0000-0000-00001C000000}"/>
    <cellStyle name="20% - Ênfase2 2 3" xfId="30" xr:uid="{00000000-0005-0000-0000-00001D000000}"/>
    <cellStyle name="20% - Ênfase2 2 4" xfId="31" xr:uid="{00000000-0005-0000-0000-00001E000000}"/>
    <cellStyle name="20% - Ênfase2 3" xfId="32" xr:uid="{00000000-0005-0000-0000-00001F000000}"/>
    <cellStyle name="20% - Ênfase2 3 2" xfId="33" xr:uid="{00000000-0005-0000-0000-000020000000}"/>
    <cellStyle name="20% - Ênfase2 3 3" xfId="34" xr:uid="{00000000-0005-0000-0000-000021000000}"/>
    <cellStyle name="20% - Ênfase2 4" xfId="35" xr:uid="{00000000-0005-0000-0000-000022000000}"/>
    <cellStyle name="20% - Ênfase2 5" xfId="36" xr:uid="{00000000-0005-0000-0000-000023000000}"/>
    <cellStyle name="20% - Ênfase3 2" xfId="37" xr:uid="{00000000-0005-0000-0000-000024000000}"/>
    <cellStyle name="20% - Ênfase3 2 2" xfId="38" xr:uid="{00000000-0005-0000-0000-000025000000}"/>
    <cellStyle name="20% - Ênfase3 2 2 2" xfId="39" xr:uid="{00000000-0005-0000-0000-000026000000}"/>
    <cellStyle name="20% - Ênfase3 2 3" xfId="40" xr:uid="{00000000-0005-0000-0000-000027000000}"/>
    <cellStyle name="20% - Ênfase3 2 4" xfId="41" xr:uid="{00000000-0005-0000-0000-000028000000}"/>
    <cellStyle name="20% - Ênfase3 3" xfId="42" xr:uid="{00000000-0005-0000-0000-000029000000}"/>
    <cellStyle name="20% - Ênfase3 3 2" xfId="43" xr:uid="{00000000-0005-0000-0000-00002A000000}"/>
    <cellStyle name="20% - Ênfase3 3 3" xfId="44" xr:uid="{00000000-0005-0000-0000-00002B000000}"/>
    <cellStyle name="20% - Ênfase3 4" xfId="45" xr:uid="{00000000-0005-0000-0000-00002C000000}"/>
    <cellStyle name="20% - Ênfase3 5" xfId="46" xr:uid="{00000000-0005-0000-0000-00002D000000}"/>
    <cellStyle name="20% - Ênfase4 2" xfId="47" xr:uid="{00000000-0005-0000-0000-00002E000000}"/>
    <cellStyle name="20% - Ênfase4 2 2" xfId="48" xr:uid="{00000000-0005-0000-0000-00002F000000}"/>
    <cellStyle name="20% - Ênfase4 2 2 2" xfId="49" xr:uid="{00000000-0005-0000-0000-000030000000}"/>
    <cellStyle name="20% - Ênfase4 2 3" xfId="50" xr:uid="{00000000-0005-0000-0000-000031000000}"/>
    <cellStyle name="20% - Ênfase4 2 4" xfId="51" xr:uid="{00000000-0005-0000-0000-000032000000}"/>
    <cellStyle name="20% - Ênfase4 3" xfId="52" xr:uid="{00000000-0005-0000-0000-000033000000}"/>
    <cellStyle name="20% - Ênfase4 3 2" xfId="53" xr:uid="{00000000-0005-0000-0000-000034000000}"/>
    <cellStyle name="20% - Ênfase4 3 3" xfId="54" xr:uid="{00000000-0005-0000-0000-000035000000}"/>
    <cellStyle name="20% - Ênfase4 4" xfId="55" xr:uid="{00000000-0005-0000-0000-000036000000}"/>
    <cellStyle name="20% - Ênfase4 5" xfId="56" xr:uid="{00000000-0005-0000-0000-000037000000}"/>
    <cellStyle name="20% - Ênfase5 2" xfId="57" xr:uid="{00000000-0005-0000-0000-000038000000}"/>
    <cellStyle name="20% - Ênfase5 2 2" xfId="58" xr:uid="{00000000-0005-0000-0000-000039000000}"/>
    <cellStyle name="20% - Ênfase5 2 2 2" xfId="59" xr:uid="{00000000-0005-0000-0000-00003A000000}"/>
    <cellStyle name="20% - Ênfase5 2 3" xfId="60" xr:uid="{00000000-0005-0000-0000-00003B000000}"/>
    <cellStyle name="20% - Ênfase5 2 4" xfId="61" xr:uid="{00000000-0005-0000-0000-00003C000000}"/>
    <cellStyle name="20% - Ênfase5 3" xfId="62" xr:uid="{00000000-0005-0000-0000-00003D000000}"/>
    <cellStyle name="20% - Ênfase5 3 2" xfId="63" xr:uid="{00000000-0005-0000-0000-00003E000000}"/>
    <cellStyle name="20% - Ênfase5 3 3" xfId="64" xr:uid="{00000000-0005-0000-0000-00003F000000}"/>
    <cellStyle name="20% - Ênfase5 4" xfId="65" xr:uid="{00000000-0005-0000-0000-000040000000}"/>
    <cellStyle name="20% - Ênfase6 2" xfId="66" xr:uid="{00000000-0005-0000-0000-000041000000}"/>
    <cellStyle name="20% - Ênfase6 2 2" xfId="67" xr:uid="{00000000-0005-0000-0000-000042000000}"/>
    <cellStyle name="20% - Ênfase6 2 2 2" xfId="68" xr:uid="{00000000-0005-0000-0000-000043000000}"/>
    <cellStyle name="20% - Ênfase6 2 3" xfId="69" xr:uid="{00000000-0005-0000-0000-000044000000}"/>
    <cellStyle name="20% - Ênfase6 2 4" xfId="70" xr:uid="{00000000-0005-0000-0000-000045000000}"/>
    <cellStyle name="20% - Ênfase6 3" xfId="71" xr:uid="{00000000-0005-0000-0000-000046000000}"/>
    <cellStyle name="20% - Ênfase6 3 2" xfId="72" xr:uid="{00000000-0005-0000-0000-000047000000}"/>
    <cellStyle name="20% - Ênfase6 3 3" xfId="73" xr:uid="{00000000-0005-0000-0000-000048000000}"/>
    <cellStyle name="20% - Ênfase6 4" xfId="74" xr:uid="{00000000-0005-0000-0000-000049000000}"/>
    <cellStyle name="40% - Cor1" xfId="75" xr:uid="{00000000-0005-0000-0000-00004A000000}"/>
    <cellStyle name="40% - Cor1 2" xfId="76" xr:uid="{00000000-0005-0000-0000-00004B000000}"/>
    <cellStyle name="40% - Cor2" xfId="77" xr:uid="{00000000-0005-0000-0000-00004C000000}"/>
    <cellStyle name="40% - Cor2 2" xfId="78" xr:uid="{00000000-0005-0000-0000-00004D000000}"/>
    <cellStyle name="40% - Cor3" xfId="79" xr:uid="{00000000-0005-0000-0000-00004E000000}"/>
    <cellStyle name="40% - Cor3 2" xfId="80" xr:uid="{00000000-0005-0000-0000-00004F000000}"/>
    <cellStyle name="40% - Cor4" xfId="81" xr:uid="{00000000-0005-0000-0000-000050000000}"/>
    <cellStyle name="40% - Cor4 2" xfId="82" xr:uid="{00000000-0005-0000-0000-000051000000}"/>
    <cellStyle name="40% - Cor5" xfId="83" xr:uid="{00000000-0005-0000-0000-000052000000}"/>
    <cellStyle name="40% - Cor5 2" xfId="84" xr:uid="{00000000-0005-0000-0000-000053000000}"/>
    <cellStyle name="40% - Cor6" xfId="85" xr:uid="{00000000-0005-0000-0000-000054000000}"/>
    <cellStyle name="40% - Cor6 2" xfId="86" xr:uid="{00000000-0005-0000-0000-000055000000}"/>
    <cellStyle name="40% - Ênfase1 2" xfId="87" xr:uid="{00000000-0005-0000-0000-000056000000}"/>
    <cellStyle name="40% - Ênfase1 2 2" xfId="88" xr:uid="{00000000-0005-0000-0000-000057000000}"/>
    <cellStyle name="40% - Ênfase1 2 2 2" xfId="89" xr:uid="{00000000-0005-0000-0000-000058000000}"/>
    <cellStyle name="40% - Ênfase1 2 3" xfId="90" xr:uid="{00000000-0005-0000-0000-000059000000}"/>
    <cellStyle name="40% - Ênfase1 2 4" xfId="91" xr:uid="{00000000-0005-0000-0000-00005A000000}"/>
    <cellStyle name="40% - Ênfase1 3" xfId="92" xr:uid="{00000000-0005-0000-0000-00005B000000}"/>
    <cellStyle name="40% - Ênfase1 3 2" xfId="93" xr:uid="{00000000-0005-0000-0000-00005C000000}"/>
    <cellStyle name="40% - Ênfase1 3 3" xfId="94" xr:uid="{00000000-0005-0000-0000-00005D000000}"/>
    <cellStyle name="40% - Ênfase1 4" xfId="95" xr:uid="{00000000-0005-0000-0000-00005E000000}"/>
    <cellStyle name="40% - Ênfase2 2" xfId="96" xr:uid="{00000000-0005-0000-0000-00005F000000}"/>
    <cellStyle name="40% - Ênfase2 2 2" xfId="97" xr:uid="{00000000-0005-0000-0000-000060000000}"/>
    <cellStyle name="40% - Ênfase2 2 2 2" xfId="98" xr:uid="{00000000-0005-0000-0000-000061000000}"/>
    <cellStyle name="40% - Ênfase2 2 3" xfId="99" xr:uid="{00000000-0005-0000-0000-000062000000}"/>
    <cellStyle name="40% - Ênfase2 2 4" xfId="100" xr:uid="{00000000-0005-0000-0000-000063000000}"/>
    <cellStyle name="40% - Ênfase2 3" xfId="101" xr:uid="{00000000-0005-0000-0000-000064000000}"/>
    <cellStyle name="40% - Ênfase2 3 2" xfId="102" xr:uid="{00000000-0005-0000-0000-000065000000}"/>
    <cellStyle name="40% - Ênfase2 3 3" xfId="103" xr:uid="{00000000-0005-0000-0000-000066000000}"/>
    <cellStyle name="40% - Ênfase2 4" xfId="104" xr:uid="{00000000-0005-0000-0000-000067000000}"/>
    <cellStyle name="40% - Ênfase3 2" xfId="105" xr:uid="{00000000-0005-0000-0000-000068000000}"/>
    <cellStyle name="40% - Ênfase3 2 2" xfId="106" xr:uid="{00000000-0005-0000-0000-000069000000}"/>
    <cellStyle name="40% - Ênfase3 2 2 2" xfId="107" xr:uid="{00000000-0005-0000-0000-00006A000000}"/>
    <cellStyle name="40% - Ênfase3 2 3" xfId="108" xr:uid="{00000000-0005-0000-0000-00006B000000}"/>
    <cellStyle name="40% - Ênfase3 2 4" xfId="109" xr:uid="{00000000-0005-0000-0000-00006C000000}"/>
    <cellStyle name="40% - Ênfase3 3" xfId="110" xr:uid="{00000000-0005-0000-0000-00006D000000}"/>
    <cellStyle name="40% - Ênfase3 3 2" xfId="111" xr:uid="{00000000-0005-0000-0000-00006E000000}"/>
    <cellStyle name="40% - Ênfase3 3 3" xfId="112" xr:uid="{00000000-0005-0000-0000-00006F000000}"/>
    <cellStyle name="40% - Ênfase3 4" xfId="113" xr:uid="{00000000-0005-0000-0000-000070000000}"/>
    <cellStyle name="40% - Ênfase3 5" xfId="114" xr:uid="{00000000-0005-0000-0000-000071000000}"/>
    <cellStyle name="40% - Ênfase4 2" xfId="115" xr:uid="{00000000-0005-0000-0000-000072000000}"/>
    <cellStyle name="40% - Ênfase4 2 2" xfId="116" xr:uid="{00000000-0005-0000-0000-000073000000}"/>
    <cellStyle name="40% - Ênfase4 2 2 2" xfId="117" xr:uid="{00000000-0005-0000-0000-000074000000}"/>
    <cellStyle name="40% - Ênfase4 2 3" xfId="118" xr:uid="{00000000-0005-0000-0000-000075000000}"/>
    <cellStyle name="40% - Ênfase4 2 4" xfId="119" xr:uid="{00000000-0005-0000-0000-000076000000}"/>
    <cellStyle name="40% - Ênfase4 3" xfId="120" xr:uid="{00000000-0005-0000-0000-000077000000}"/>
    <cellStyle name="40% - Ênfase4 3 2" xfId="121" xr:uid="{00000000-0005-0000-0000-000078000000}"/>
    <cellStyle name="40% - Ênfase4 3 3" xfId="122" xr:uid="{00000000-0005-0000-0000-000079000000}"/>
    <cellStyle name="40% - Ênfase4 4" xfId="123" xr:uid="{00000000-0005-0000-0000-00007A000000}"/>
    <cellStyle name="40% - Ênfase5 2" xfId="124" xr:uid="{00000000-0005-0000-0000-00007B000000}"/>
    <cellStyle name="40% - Ênfase5 2 2" xfId="125" xr:uid="{00000000-0005-0000-0000-00007C000000}"/>
    <cellStyle name="40% - Ênfase5 2 2 2" xfId="126" xr:uid="{00000000-0005-0000-0000-00007D000000}"/>
    <cellStyle name="40% - Ênfase5 2 3" xfId="127" xr:uid="{00000000-0005-0000-0000-00007E000000}"/>
    <cellStyle name="40% - Ênfase5 2 4" xfId="128" xr:uid="{00000000-0005-0000-0000-00007F000000}"/>
    <cellStyle name="40% - Ênfase5 3" xfId="129" xr:uid="{00000000-0005-0000-0000-000080000000}"/>
    <cellStyle name="40% - Ênfase5 3 2" xfId="130" xr:uid="{00000000-0005-0000-0000-000081000000}"/>
    <cellStyle name="40% - Ênfase5 3 3" xfId="131" xr:uid="{00000000-0005-0000-0000-000082000000}"/>
    <cellStyle name="40% - Ênfase5 4" xfId="132" xr:uid="{00000000-0005-0000-0000-000083000000}"/>
    <cellStyle name="40% - Ênfase6 2" xfId="133" xr:uid="{00000000-0005-0000-0000-000084000000}"/>
    <cellStyle name="40% - Ênfase6 2 2" xfId="134" xr:uid="{00000000-0005-0000-0000-000085000000}"/>
    <cellStyle name="40% - Ênfase6 2 2 2" xfId="135" xr:uid="{00000000-0005-0000-0000-000086000000}"/>
    <cellStyle name="40% - Ênfase6 2 3" xfId="136" xr:uid="{00000000-0005-0000-0000-000087000000}"/>
    <cellStyle name="40% - Ênfase6 2 4" xfId="137" xr:uid="{00000000-0005-0000-0000-000088000000}"/>
    <cellStyle name="40% - Ênfase6 3" xfId="138" xr:uid="{00000000-0005-0000-0000-000089000000}"/>
    <cellStyle name="40% - Ênfase6 3 2" xfId="139" xr:uid="{00000000-0005-0000-0000-00008A000000}"/>
    <cellStyle name="40% - Ênfase6 3 3" xfId="140" xr:uid="{00000000-0005-0000-0000-00008B000000}"/>
    <cellStyle name="40% - Ênfase6 4" xfId="141" xr:uid="{00000000-0005-0000-0000-00008C000000}"/>
    <cellStyle name="60% - Cor1" xfId="142" xr:uid="{00000000-0005-0000-0000-00008D000000}"/>
    <cellStyle name="60% - Cor1 2" xfId="143" xr:uid="{00000000-0005-0000-0000-00008E000000}"/>
    <cellStyle name="60% - Cor2" xfId="144" xr:uid="{00000000-0005-0000-0000-00008F000000}"/>
    <cellStyle name="60% - Cor2 2" xfId="145" xr:uid="{00000000-0005-0000-0000-000090000000}"/>
    <cellStyle name="60% - Cor3" xfId="146" xr:uid="{00000000-0005-0000-0000-000091000000}"/>
    <cellStyle name="60% - Cor3 2" xfId="147" xr:uid="{00000000-0005-0000-0000-000092000000}"/>
    <cellStyle name="60% - Cor4" xfId="148" xr:uid="{00000000-0005-0000-0000-000093000000}"/>
    <cellStyle name="60% - Cor4 2" xfId="149" xr:uid="{00000000-0005-0000-0000-000094000000}"/>
    <cellStyle name="60% - Cor5" xfId="150" xr:uid="{00000000-0005-0000-0000-000095000000}"/>
    <cellStyle name="60% - Cor5 2" xfId="151" xr:uid="{00000000-0005-0000-0000-000096000000}"/>
    <cellStyle name="60% - Cor6" xfId="152" xr:uid="{00000000-0005-0000-0000-000097000000}"/>
    <cellStyle name="60% - Cor6 2" xfId="153" xr:uid="{00000000-0005-0000-0000-000098000000}"/>
    <cellStyle name="60% - Ênfase1 2" xfId="154" xr:uid="{00000000-0005-0000-0000-000099000000}"/>
    <cellStyle name="60% - Ênfase1 3" xfId="155" xr:uid="{00000000-0005-0000-0000-00009A000000}"/>
    <cellStyle name="60% - Ênfase2 2" xfId="156" xr:uid="{00000000-0005-0000-0000-00009B000000}"/>
    <cellStyle name="60% - Ênfase2 3" xfId="157" xr:uid="{00000000-0005-0000-0000-00009C000000}"/>
    <cellStyle name="60% - Ênfase3 2" xfId="158" xr:uid="{00000000-0005-0000-0000-00009D000000}"/>
    <cellStyle name="60% - Ênfase3 2 2" xfId="159" xr:uid="{00000000-0005-0000-0000-00009E000000}"/>
    <cellStyle name="60% - Ênfase3 3" xfId="160" xr:uid="{00000000-0005-0000-0000-00009F000000}"/>
    <cellStyle name="60% - Ênfase4 2" xfId="161" xr:uid="{00000000-0005-0000-0000-0000A0000000}"/>
    <cellStyle name="60% - Ênfase4 2 2" xfId="162" xr:uid="{00000000-0005-0000-0000-0000A1000000}"/>
    <cellStyle name="60% - Ênfase4 3" xfId="163" xr:uid="{00000000-0005-0000-0000-0000A2000000}"/>
    <cellStyle name="60% - Ênfase5 2" xfId="164" xr:uid="{00000000-0005-0000-0000-0000A3000000}"/>
    <cellStyle name="60% - Ênfase5 3" xfId="165" xr:uid="{00000000-0005-0000-0000-0000A4000000}"/>
    <cellStyle name="60% - Ênfase6 2" xfId="166" xr:uid="{00000000-0005-0000-0000-0000A5000000}"/>
    <cellStyle name="60% - Ênfase6 2 2" xfId="167" xr:uid="{00000000-0005-0000-0000-0000A6000000}"/>
    <cellStyle name="60% - Ênfase6 3" xfId="168" xr:uid="{00000000-0005-0000-0000-0000A7000000}"/>
    <cellStyle name="Bom 2" xfId="169" xr:uid="{00000000-0005-0000-0000-0000A8000000}"/>
    <cellStyle name="Bom 3" xfId="170" xr:uid="{00000000-0005-0000-0000-0000A9000000}"/>
    <cellStyle name="Cabeçalho 1" xfId="171" xr:uid="{00000000-0005-0000-0000-0000AA000000}"/>
    <cellStyle name="Cabeçalho 1 2" xfId="172" xr:uid="{00000000-0005-0000-0000-0000AB000000}"/>
    <cellStyle name="Cabeçalho 2" xfId="173" xr:uid="{00000000-0005-0000-0000-0000AC000000}"/>
    <cellStyle name="Cabeçalho 2 2" xfId="174" xr:uid="{00000000-0005-0000-0000-0000AD000000}"/>
    <cellStyle name="Cabeçalho 3" xfId="175" xr:uid="{00000000-0005-0000-0000-0000AE000000}"/>
    <cellStyle name="Cabeçalho 3 2" xfId="176" xr:uid="{00000000-0005-0000-0000-0000AF000000}"/>
    <cellStyle name="Cabeçalho 4" xfId="177" xr:uid="{00000000-0005-0000-0000-0000B0000000}"/>
    <cellStyle name="Cabeçalho 4 2" xfId="178" xr:uid="{00000000-0005-0000-0000-0000B1000000}"/>
    <cellStyle name="Cálculo 2" xfId="179" xr:uid="{00000000-0005-0000-0000-0000B2000000}"/>
    <cellStyle name="Cálculo 2 2" xfId="180" xr:uid="{00000000-0005-0000-0000-0000B3000000}"/>
    <cellStyle name="Cálculo 2 2 2" xfId="181" xr:uid="{00000000-0005-0000-0000-0000B4000000}"/>
    <cellStyle name="Cálculo 2 2_CÁLCULO DE HORAS - tabela MARÇO 2014" xfId="182" xr:uid="{00000000-0005-0000-0000-0000B5000000}"/>
    <cellStyle name="Cálculo 2 3" xfId="183" xr:uid="{00000000-0005-0000-0000-0000B6000000}"/>
    <cellStyle name="Cálculo 2 3 2" xfId="184" xr:uid="{00000000-0005-0000-0000-0000B7000000}"/>
    <cellStyle name="Cálculo 2 3_CÁLCULO DE HORAS - tabela MARÇO 2014" xfId="185" xr:uid="{00000000-0005-0000-0000-0000B8000000}"/>
    <cellStyle name="Cálculo 2 4" xfId="186" xr:uid="{00000000-0005-0000-0000-0000B9000000}"/>
    <cellStyle name="Cálculo 2_AQPNG_ORC_R01_2013_11_22(OBRA COMPLETA) 29112013-2" xfId="187" xr:uid="{00000000-0005-0000-0000-0000BA000000}"/>
    <cellStyle name="Cálculo 3" xfId="188" xr:uid="{00000000-0005-0000-0000-0000BB000000}"/>
    <cellStyle name="Cálculo 3 2" xfId="189" xr:uid="{00000000-0005-0000-0000-0000BC000000}"/>
    <cellStyle name="Cálculo 3_CÁLCULO DE HORAS - tabela MARÇO 2014" xfId="190" xr:uid="{00000000-0005-0000-0000-0000BD000000}"/>
    <cellStyle name="category" xfId="191" xr:uid="{00000000-0005-0000-0000-0000BE000000}"/>
    <cellStyle name="Célula de Verificação 2" xfId="192" xr:uid="{00000000-0005-0000-0000-0000BF000000}"/>
    <cellStyle name="Célula de Verificação 3" xfId="193" xr:uid="{00000000-0005-0000-0000-0000C0000000}"/>
    <cellStyle name="Célula Ligada" xfId="194" xr:uid="{00000000-0005-0000-0000-0000C1000000}"/>
    <cellStyle name="Célula Ligada 2" xfId="195" xr:uid="{00000000-0005-0000-0000-0000C2000000}"/>
    <cellStyle name="Célula Vinculada 2" xfId="196" xr:uid="{00000000-0005-0000-0000-0000C3000000}"/>
    <cellStyle name="Célula Vinculada 3" xfId="197" xr:uid="{00000000-0005-0000-0000-0000C4000000}"/>
    <cellStyle name="Comma" xfId="198" xr:uid="{00000000-0005-0000-0000-0000C5000000}"/>
    <cellStyle name="Comma [0]_aola" xfId="199" xr:uid="{00000000-0005-0000-0000-0000C6000000}"/>
    <cellStyle name="Comma_5 Series SW" xfId="200" xr:uid="{00000000-0005-0000-0000-0000C7000000}"/>
    <cellStyle name="Comma0" xfId="201" xr:uid="{00000000-0005-0000-0000-0000C8000000}"/>
    <cellStyle name="Comma0 - Modelo1" xfId="202" xr:uid="{00000000-0005-0000-0000-0000C9000000}"/>
    <cellStyle name="Comma0 - Style1" xfId="203" xr:uid="{00000000-0005-0000-0000-0000CA000000}"/>
    <cellStyle name="Comma1 - Modelo2" xfId="204" xr:uid="{00000000-0005-0000-0000-0000CB000000}"/>
    <cellStyle name="Comma1 - Style2" xfId="205" xr:uid="{00000000-0005-0000-0000-0000CC000000}"/>
    <cellStyle name="Cor1" xfId="206" xr:uid="{00000000-0005-0000-0000-0000CD000000}"/>
    <cellStyle name="Cor1 2" xfId="207" xr:uid="{00000000-0005-0000-0000-0000CE000000}"/>
    <cellStyle name="Cor2" xfId="208" xr:uid="{00000000-0005-0000-0000-0000CF000000}"/>
    <cellStyle name="Cor2 2" xfId="209" xr:uid="{00000000-0005-0000-0000-0000D0000000}"/>
    <cellStyle name="Cor3" xfId="210" xr:uid="{00000000-0005-0000-0000-0000D1000000}"/>
    <cellStyle name="Cor3 2" xfId="211" xr:uid="{00000000-0005-0000-0000-0000D2000000}"/>
    <cellStyle name="Cor4" xfId="212" xr:uid="{00000000-0005-0000-0000-0000D3000000}"/>
    <cellStyle name="Cor4 2" xfId="213" xr:uid="{00000000-0005-0000-0000-0000D4000000}"/>
    <cellStyle name="Cor5" xfId="214" xr:uid="{00000000-0005-0000-0000-0000D5000000}"/>
    <cellStyle name="Cor5 2" xfId="215" xr:uid="{00000000-0005-0000-0000-0000D6000000}"/>
    <cellStyle name="Cor6" xfId="216" xr:uid="{00000000-0005-0000-0000-0000D7000000}"/>
    <cellStyle name="Cor6 2" xfId="217" xr:uid="{00000000-0005-0000-0000-0000D8000000}"/>
    <cellStyle name="Correcto" xfId="218" xr:uid="{00000000-0005-0000-0000-0000D9000000}"/>
    <cellStyle name="Correcto 2" xfId="219" xr:uid="{00000000-0005-0000-0000-0000DA000000}"/>
    <cellStyle name="Currency" xfId="220" xr:uid="{00000000-0005-0000-0000-0000DB000000}"/>
    <cellStyle name="Currency $" xfId="221" xr:uid="{00000000-0005-0000-0000-0000DC000000}"/>
    <cellStyle name="Currency [0]_1995" xfId="222" xr:uid="{00000000-0005-0000-0000-0000DD000000}"/>
    <cellStyle name="Currency_1995" xfId="223" xr:uid="{00000000-0005-0000-0000-0000DE000000}"/>
    <cellStyle name="Currency0" xfId="224" xr:uid="{00000000-0005-0000-0000-0000DF000000}"/>
    <cellStyle name="Date" xfId="225" xr:uid="{00000000-0005-0000-0000-0000E0000000}"/>
    <cellStyle name="Dia" xfId="226" xr:uid="{00000000-0005-0000-0000-0000E1000000}"/>
    <cellStyle name="Encabez1" xfId="227" xr:uid="{00000000-0005-0000-0000-0000E2000000}"/>
    <cellStyle name="Encabez2" xfId="228" xr:uid="{00000000-0005-0000-0000-0000E3000000}"/>
    <cellStyle name="Ênfase1 2" xfId="229" xr:uid="{00000000-0005-0000-0000-0000E4000000}"/>
    <cellStyle name="Ênfase1 3" xfId="230" xr:uid="{00000000-0005-0000-0000-0000E5000000}"/>
    <cellStyle name="Ênfase2 2" xfId="231" xr:uid="{00000000-0005-0000-0000-0000E6000000}"/>
    <cellStyle name="Ênfase2 3" xfId="232" xr:uid="{00000000-0005-0000-0000-0000E7000000}"/>
    <cellStyle name="Ênfase3 2" xfId="233" xr:uid="{00000000-0005-0000-0000-0000E8000000}"/>
    <cellStyle name="Ênfase3 3" xfId="234" xr:uid="{00000000-0005-0000-0000-0000E9000000}"/>
    <cellStyle name="Ênfase4 2" xfId="235" xr:uid="{00000000-0005-0000-0000-0000EA000000}"/>
    <cellStyle name="Ênfase4 3" xfId="236" xr:uid="{00000000-0005-0000-0000-0000EB000000}"/>
    <cellStyle name="Ênfase5 2" xfId="237" xr:uid="{00000000-0005-0000-0000-0000EC000000}"/>
    <cellStyle name="Ênfase5 3" xfId="238" xr:uid="{00000000-0005-0000-0000-0000ED000000}"/>
    <cellStyle name="Ênfase6 2" xfId="239" xr:uid="{00000000-0005-0000-0000-0000EE000000}"/>
    <cellStyle name="Ênfase6 3" xfId="240" xr:uid="{00000000-0005-0000-0000-0000EF000000}"/>
    <cellStyle name="Entrada 2" xfId="241" xr:uid="{00000000-0005-0000-0000-0000F0000000}"/>
    <cellStyle name="Entrada 2 2" xfId="242" xr:uid="{00000000-0005-0000-0000-0000F1000000}"/>
    <cellStyle name="Entrada 2 2 2" xfId="243" xr:uid="{00000000-0005-0000-0000-0000F2000000}"/>
    <cellStyle name="Entrada 2 2_CÁLCULO DE HORAS - tabela MARÇO 2014" xfId="244" xr:uid="{00000000-0005-0000-0000-0000F3000000}"/>
    <cellStyle name="Entrada 2 3" xfId="245" xr:uid="{00000000-0005-0000-0000-0000F4000000}"/>
    <cellStyle name="Entrada 2 3 2" xfId="246" xr:uid="{00000000-0005-0000-0000-0000F5000000}"/>
    <cellStyle name="Entrada 2 3_CÁLCULO DE HORAS - tabela MARÇO 2014" xfId="247" xr:uid="{00000000-0005-0000-0000-0000F6000000}"/>
    <cellStyle name="Entrada 2 4" xfId="248" xr:uid="{00000000-0005-0000-0000-0000F7000000}"/>
    <cellStyle name="Entrada 2_AQPNG_ORC_R01_2013_11_22(OBRA COMPLETA) 29112013-2" xfId="249" xr:uid="{00000000-0005-0000-0000-0000F8000000}"/>
    <cellStyle name="Entrada 3" xfId="250" xr:uid="{00000000-0005-0000-0000-0000F9000000}"/>
    <cellStyle name="Entrada 3 2" xfId="251" xr:uid="{00000000-0005-0000-0000-0000FA000000}"/>
    <cellStyle name="Entrada 3_CÁLCULO DE HORAS - tabela MARÇO 2014" xfId="252" xr:uid="{00000000-0005-0000-0000-0000FB000000}"/>
    <cellStyle name="ESPECM" xfId="253" xr:uid="{00000000-0005-0000-0000-0000FC000000}"/>
    <cellStyle name="Estilo 1" xfId="254" xr:uid="{00000000-0005-0000-0000-0000FD000000}"/>
    <cellStyle name="Estilo 1 2" xfId="255" xr:uid="{00000000-0005-0000-0000-0000FE000000}"/>
    <cellStyle name="Estilo 1_AQPNG_ORC_R01_2013_11_22(OBRA COMPLETA) 29112013-2" xfId="256" xr:uid="{00000000-0005-0000-0000-0000FF000000}"/>
    <cellStyle name="Euro" xfId="257" xr:uid="{00000000-0005-0000-0000-000000010000}"/>
    <cellStyle name="Excel Built-in Comma" xfId="258" xr:uid="{00000000-0005-0000-0000-000001010000}"/>
    <cellStyle name="Excel Built-in Comma 2" xfId="259" xr:uid="{00000000-0005-0000-0000-000002010000}"/>
    <cellStyle name="Excel Built-in Comma 2 2" xfId="260" xr:uid="{00000000-0005-0000-0000-000003010000}"/>
    <cellStyle name="Excel Built-in Comma 3" xfId="261" xr:uid="{00000000-0005-0000-0000-000004010000}"/>
    <cellStyle name="Excel Built-in Comma 4" xfId="262" xr:uid="{00000000-0005-0000-0000-000005010000}"/>
    <cellStyle name="Excel Built-in Comma 5" xfId="263" xr:uid="{00000000-0005-0000-0000-000006010000}"/>
    <cellStyle name="Excel Built-in Normal" xfId="264" xr:uid="{00000000-0005-0000-0000-000007010000}"/>
    <cellStyle name="Excel Built-in Normal 2" xfId="265" xr:uid="{00000000-0005-0000-0000-000008010000}"/>
    <cellStyle name="Excel Built-in Normal 2 2" xfId="266" xr:uid="{00000000-0005-0000-0000-000009010000}"/>
    <cellStyle name="Excel Built-in Normal 3" xfId="267" xr:uid="{00000000-0005-0000-0000-00000A010000}"/>
    <cellStyle name="Excel Built-in Normal 4" xfId="268" xr:uid="{00000000-0005-0000-0000-00000B010000}"/>
    <cellStyle name="Excel Built-in Normal 5" xfId="269" xr:uid="{00000000-0005-0000-0000-00000C010000}"/>
    <cellStyle name="Excel Built-in Normal 6" xfId="836" xr:uid="{C5DBDA57-AFE4-451F-A6FA-3E3518B01AED}"/>
    <cellStyle name="Excel Built-in Normal_Planilha RETROFIT PALÁCIO - VRF  DEZEMBRO  2013 CRONOGRAMA 15 MESES _ R02 - 2" xfId="270" xr:uid="{00000000-0005-0000-0000-00000D010000}"/>
    <cellStyle name="F2" xfId="271" xr:uid="{00000000-0005-0000-0000-00000E010000}"/>
    <cellStyle name="F3" xfId="272" xr:uid="{00000000-0005-0000-0000-00000F010000}"/>
    <cellStyle name="F4" xfId="273" xr:uid="{00000000-0005-0000-0000-000010010000}"/>
    <cellStyle name="F5" xfId="274" xr:uid="{00000000-0005-0000-0000-000011010000}"/>
    <cellStyle name="F6" xfId="275" xr:uid="{00000000-0005-0000-0000-000012010000}"/>
    <cellStyle name="F7" xfId="276" xr:uid="{00000000-0005-0000-0000-000013010000}"/>
    <cellStyle name="F8" xfId="277" xr:uid="{00000000-0005-0000-0000-000014010000}"/>
    <cellStyle name="Fijo" xfId="278" xr:uid="{00000000-0005-0000-0000-000015010000}"/>
    <cellStyle name="Financiero" xfId="279" xr:uid="{00000000-0005-0000-0000-000016010000}"/>
    <cellStyle name="Fixed" xfId="280" xr:uid="{00000000-0005-0000-0000-000017010000}"/>
    <cellStyle name="Followed Hyperlink" xfId="281" xr:uid="{00000000-0005-0000-0000-000018010000}"/>
    <cellStyle name="Grey" xfId="282" xr:uid="{00000000-0005-0000-0000-000019010000}"/>
    <cellStyle name="HEADER" xfId="283" xr:uid="{00000000-0005-0000-0000-00001A010000}"/>
    <cellStyle name="Heading 1" xfId="284" xr:uid="{00000000-0005-0000-0000-00001B010000}"/>
    <cellStyle name="Heading 2" xfId="285" xr:uid="{00000000-0005-0000-0000-00001C010000}"/>
    <cellStyle name="Hiperlink 2" xfId="286" xr:uid="{00000000-0005-0000-0000-00001D010000}"/>
    <cellStyle name="Incorrecto" xfId="287" xr:uid="{00000000-0005-0000-0000-00001E010000}"/>
    <cellStyle name="Incorrecto 2" xfId="288" xr:uid="{00000000-0005-0000-0000-00001F010000}"/>
    <cellStyle name="Incorreto 2" xfId="289" xr:uid="{00000000-0005-0000-0000-000020010000}"/>
    <cellStyle name="Incorreto 3" xfId="290" xr:uid="{00000000-0005-0000-0000-000021010000}"/>
    <cellStyle name="Input [yellow]" xfId="291" xr:uid="{00000000-0005-0000-0000-000022010000}"/>
    <cellStyle name="Millares [0]_10 AVERIAS MASIVAS + ANT" xfId="292" xr:uid="{00000000-0005-0000-0000-000023010000}"/>
    <cellStyle name="Millares_10 AVERIAS MASIVAS + ANT" xfId="293" xr:uid="{00000000-0005-0000-0000-000024010000}"/>
    <cellStyle name="Model" xfId="294" xr:uid="{00000000-0005-0000-0000-000025010000}"/>
    <cellStyle name="Moeda" xfId="827" builtinId="4"/>
    <cellStyle name="Moeda 10" xfId="295" xr:uid="{00000000-0005-0000-0000-000026010000}"/>
    <cellStyle name="Moeda 11" xfId="296" xr:uid="{00000000-0005-0000-0000-000027010000}"/>
    <cellStyle name="Moeda 12" xfId="297" xr:uid="{00000000-0005-0000-0000-000028010000}"/>
    <cellStyle name="Moeda 12 2" xfId="841" xr:uid="{9637DD3A-1B3B-40EB-B424-130580279D41}"/>
    <cellStyle name="Moeda 13" xfId="298" xr:uid="{00000000-0005-0000-0000-000029010000}"/>
    <cellStyle name="Moeda 14" xfId="840" xr:uid="{59415002-3A4A-4782-AC37-61D6FBBB2E67}"/>
    <cellStyle name="Moeda 2" xfId="299" xr:uid="{00000000-0005-0000-0000-00002A010000}"/>
    <cellStyle name="Moeda 2 2" xfId="300" xr:uid="{00000000-0005-0000-0000-00002B010000}"/>
    <cellStyle name="Moeda 2 2 2" xfId="301" xr:uid="{00000000-0005-0000-0000-00002C010000}"/>
    <cellStyle name="Moeda 2 2 3" xfId="302" xr:uid="{00000000-0005-0000-0000-00002D010000}"/>
    <cellStyle name="Moeda 2 2 4" xfId="303" xr:uid="{00000000-0005-0000-0000-00002E010000}"/>
    <cellStyle name="Moeda 2 2_AQPNG_ORC_R01_2013_11_22(OBRA COMPLETA) 29112013-2" xfId="304" xr:uid="{00000000-0005-0000-0000-00002F010000}"/>
    <cellStyle name="Moeda 2 3" xfId="305" xr:uid="{00000000-0005-0000-0000-000030010000}"/>
    <cellStyle name="Moeda 2 3 2" xfId="306" xr:uid="{00000000-0005-0000-0000-000031010000}"/>
    <cellStyle name="Moeda 2 3_AQPNG_ORC_R01_2013_11_22(OBRA COMPLETA) 29112013-2" xfId="307" xr:uid="{00000000-0005-0000-0000-000032010000}"/>
    <cellStyle name="Moeda 2 4" xfId="308" xr:uid="{00000000-0005-0000-0000-000033010000}"/>
    <cellStyle name="Moeda 2 5" xfId="309" xr:uid="{00000000-0005-0000-0000-000034010000}"/>
    <cellStyle name="Moeda 2 6" xfId="310" xr:uid="{00000000-0005-0000-0000-000035010000}"/>
    <cellStyle name="Moeda 2_AQPNG_ORC_R01_2013_11_22(OBRA COMPLETA) 29112013-2" xfId="311" xr:uid="{00000000-0005-0000-0000-000036010000}"/>
    <cellStyle name="Moeda 3" xfId="312" xr:uid="{00000000-0005-0000-0000-000037010000}"/>
    <cellStyle name="Moeda 3 2" xfId="313" xr:uid="{00000000-0005-0000-0000-000038010000}"/>
    <cellStyle name="Moeda 3 2 2" xfId="314" xr:uid="{00000000-0005-0000-0000-000039010000}"/>
    <cellStyle name="Moeda 3 2_AQPNG_ORC_R01_2013_11_22(OBRA COMPLETA) 29112013-2" xfId="315" xr:uid="{00000000-0005-0000-0000-00003A010000}"/>
    <cellStyle name="Moeda 3 3" xfId="316" xr:uid="{00000000-0005-0000-0000-00003B010000}"/>
    <cellStyle name="Moeda 3 3 2" xfId="317" xr:uid="{00000000-0005-0000-0000-00003C010000}"/>
    <cellStyle name="Moeda 3 3_AQPNG_ORC_R01_2013_11_22(OBRA COMPLETA) 29112013-2" xfId="318" xr:uid="{00000000-0005-0000-0000-00003D010000}"/>
    <cellStyle name="Moeda 3 4" xfId="319" xr:uid="{00000000-0005-0000-0000-00003E010000}"/>
    <cellStyle name="Moeda 3_AQPNG_ORC_R01_2013_11_22(OBRA COMPLETA) 29112013-2" xfId="320" xr:uid="{00000000-0005-0000-0000-00003F010000}"/>
    <cellStyle name="Moeda 4" xfId="321" xr:uid="{00000000-0005-0000-0000-000040010000}"/>
    <cellStyle name="Moeda 4 2" xfId="322" xr:uid="{00000000-0005-0000-0000-000041010000}"/>
    <cellStyle name="Moeda 4 2 2" xfId="323" xr:uid="{00000000-0005-0000-0000-000042010000}"/>
    <cellStyle name="Moeda 4 2 2 2" xfId="324" xr:uid="{00000000-0005-0000-0000-000043010000}"/>
    <cellStyle name="Moeda 4 2 2 2 2" xfId="325" xr:uid="{00000000-0005-0000-0000-000044010000}"/>
    <cellStyle name="Moeda 4 2 3" xfId="326" xr:uid="{00000000-0005-0000-0000-000045010000}"/>
    <cellStyle name="Moeda 4 2 4" xfId="327" xr:uid="{00000000-0005-0000-0000-000046010000}"/>
    <cellStyle name="Moeda 4 2 4 2" xfId="328" xr:uid="{00000000-0005-0000-0000-000047010000}"/>
    <cellStyle name="Moeda 4 2_AQPNG_ORC_R01_2013_11_22(OBRA COMPLETA) 29112013-2" xfId="329" xr:uid="{00000000-0005-0000-0000-000048010000}"/>
    <cellStyle name="Moeda 4 3" xfId="330" xr:uid="{00000000-0005-0000-0000-000049010000}"/>
    <cellStyle name="Moeda 4 3 2" xfId="331" xr:uid="{00000000-0005-0000-0000-00004A010000}"/>
    <cellStyle name="Moeda 4 3 3" xfId="332" xr:uid="{00000000-0005-0000-0000-00004B010000}"/>
    <cellStyle name="Moeda 4 3 4" xfId="843" xr:uid="{723BE249-95FF-4C2A-B50E-8829CF59F6C0}"/>
    <cellStyle name="Moeda 4 4" xfId="333" xr:uid="{00000000-0005-0000-0000-00004C010000}"/>
    <cellStyle name="Moeda 4 5" xfId="334" xr:uid="{00000000-0005-0000-0000-00004D010000}"/>
    <cellStyle name="Moeda 4_AQPNG_ORC_R01_2013_11_22(OBRA COMPLETA) 29112013-2" xfId="335" xr:uid="{00000000-0005-0000-0000-00004E010000}"/>
    <cellStyle name="Moeda 5" xfId="336" xr:uid="{00000000-0005-0000-0000-00004F010000}"/>
    <cellStyle name="Moeda 5 10" xfId="337" xr:uid="{00000000-0005-0000-0000-000050010000}"/>
    <cellStyle name="Moeda 5 10 2" xfId="338" xr:uid="{00000000-0005-0000-0000-000051010000}"/>
    <cellStyle name="Moeda 5 11" xfId="339" xr:uid="{00000000-0005-0000-0000-000052010000}"/>
    <cellStyle name="Moeda 5 2" xfId="340" xr:uid="{00000000-0005-0000-0000-000053010000}"/>
    <cellStyle name="Moeda 5 2 2" xfId="341" xr:uid="{00000000-0005-0000-0000-000054010000}"/>
    <cellStyle name="Moeda 5 2 2 2" xfId="342" xr:uid="{00000000-0005-0000-0000-000055010000}"/>
    <cellStyle name="Moeda 5 2 2 2 2" xfId="343" xr:uid="{00000000-0005-0000-0000-000056010000}"/>
    <cellStyle name="Moeda 5 2 2 3" xfId="344" xr:uid="{00000000-0005-0000-0000-000057010000}"/>
    <cellStyle name="Moeda 5 2 2 3 2" xfId="345" xr:uid="{00000000-0005-0000-0000-000058010000}"/>
    <cellStyle name="Moeda 5 2 2 4" xfId="346" xr:uid="{00000000-0005-0000-0000-000059010000}"/>
    <cellStyle name="Moeda 5 2 3" xfId="347" xr:uid="{00000000-0005-0000-0000-00005A010000}"/>
    <cellStyle name="Moeda 5 2 3 2" xfId="348" xr:uid="{00000000-0005-0000-0000-00005B010000}"/>
    <cellStyle name="Moeda 5 2 3 2 2" xfId="349" xr:uid="{00000000-0005-0000-0000-00005C010000}"/>
    <cellStyle name="Moeda 5 2 3 3" xfId="350" xr:uid="{00000000-0005-0000-0000-00005D010000}"/>
    <cellStyle name="Moeda 5 2 4" xfId="351" xr:uid="{00000000-0005-0000-0000-00005E010000}"/>
    <cellStyle name="Moeda 5 2 4 2" xfId="352" xr:uid="{00000000-0005-0000-0000-00005F010000}"/>
    <cellStyle name="Moeda 5 2 5" xfId="353" xr:uid="{00000000-0005-0000-0000-000060010000}"/>
    <cellStyle name="Moeda 5 2 5 2" xfId="354" xr:uid="{00000000-0005-0000-0000-000061010000}"/>
    <cellStyle name="Moeda 5 3" xfId="355" xr:uid="{00000000-0005-0000-0000-000062010000}"/>
    <cellStyle name="Moeda 5 3 2" xfId="356" xr:uid="{00000000-0005-0000-0000-000063010000}"/>
    <cellStyle name="Moeda 5 3 2 2" xfId="357" xr:uid="{00000000-0005-0000-0000-000064010000}"/>
    <cellStyle name="Moeda 5 3 2 2 2" xfId="358" xr:uid="{00000000-0005-0000-0000-000065010000}"/>
    <cellStyle name="Moeda 5 3 2 3" xfId="359" xr:uid="{00000000-0005-0000-0000-000066010000}"/>
    <cellStyle name="Moeda 5 3 3" xfId="360" xr:uid="{00000000-0005-0000-0000-000067010000}"/>
    <cellStyle name="Moeda 5 3 3 2" xfId="361" xr:uid="{00000000-0005-0000-0000-000068010000}"/>
    <cellStyle name="Moeda 5 3 4" xfId="362" xr:uid="{00000000-0005-0000-0000-000069010000}"/>
    <cellStyle name="Moeda 5 3 4 2" xfId="363" xr:uid="{00000000-0005-0000-0000-00006A010000}"/>
    <cellStyle name="Moeda 5 4" xfId="364" xr:uid="{00000000-0005-0000-0000-00006B010000}"/>
    <cellStyle name="Moeda 5 5" xfId="365" xr:uid="{00000000-0005-0000-0000-00006C010000}"/>
    <cellStyle name="Moeda 5 5 2" xfId="366" xr:uid="{00000000-0005-0000-0000-00006D010000}"/>
    <cellStyle name="Moeda 5 5 2 2" xfId="367" xr:uid="{00000000-0005-0000-0000-00006E010000}"/>
    <cellStyle name="Moeda 5 5 3" xfId="368" xr:uid="{00000000-0005-0000-0000-00006F010000}"/>
    <cellStyle name="Moeda 5 5 3 2" xfId="369" xr:uid="{00000000-0005-0000-0000-000070010000}"/>
    <cellStyle name="Moeda 5 5 4" xfId="370" xr:uid="{00000000-0005-0000-0000-000071010000}"/>
    <cellStyle name="Moeda 5 6" xfId="371" xr:uid="{00000000-0005-0000-0000-000072010000}"/>
    <cellStyle name="Moeda 5 6 2" xfId="372" xr:uid="{00000000-0005-0000-0000-000073010000}"/>
    <cellStyle name="Moeda 5 6 2 2" xfId="373" xr:uid="{00000000-0005-0000-0000-000074010000}"/>
    <cellStyle name="Moeda 5 6 3" xfId="374" xr:uid="{00000000-0005-0000-0000-000075010000}"/>
    <cellStyle name="Moeda 5 6 3 2" xfId="375" xr:uid="{00000000-0005-0000-0000-000076010000}"/>
    <cellStyle name="Moeda 5 6 4" xfId="376" xr:uid="{00000000-0005-0000-0000-000077010000}"/>
    <cellStyle name="Moeda 5 7" xfId="377" xr:uid="{00000000-0005-0000-0000-000078010000}"/>
    <cellStyle name="Moeda 5 7 2" xfId="378" xr:uid="{00000000-0005-0000-0000-000079010000}"/>
    <cellStyle name="Moeda 5 7 2 2" xfId="379" xr:uid="{00000000-0005-0000-0000-00007A010000}"/>
    <cellStyle name="Moeda 5 7 3" xfId="380" xr:uid="{00000000-0005-0000-0000-00007B010000}"/>
    <cellStyle name="Moeda 5 8" xfId="381" xr:uid="{00000000-0005-0000-0000-00007C010000}"/>
    <cellStyle name="Moeda 5 8 2" xfId="382" xr:uid="{00000000-0005-0000-0000-00007D010000}"/>
    <cellStyle name="Moeda 5 8 2 2" xfId="383" xr:uid="{00000000-0005-0000-0000-00007E010000}"/>
    <cellStyle name="Moeda 5 8 3" xfId="384" xr:uid="{00000000-0005-0000-0000-00007F010000}"/>
    <cellStyle name="Moeda 5 9" xfId="385" xr:uid="{00000000-0005-0000-0000-000080010000}"/>
    <cellStyle name="Moeda 5 9 2" xfId="386" xr:uid="{00000000-0005-0000-0000-000081010000}"/>
    <cellStyle name="Moeda 5_AQPNG_ORC_R01_2013_11_22(OBRA COMPLETA) 29112013-2" xfId="387" xr:uid="{00000000-0005-0000-0000-000082010000}"/>
    <cellStyle name="Moeda 6" xfId="388" xr:uid="{00000000-0005-0000-0000-000083010000}"/>
    <cellStyle name="Moeda 6 2" xfId="389" xr:uid="{00000000-0005-0000-0000-000084010000}"/>
    <cellStyle name="Moeda 6 2 2" xfId="390" xr:uid="{00000000-0005-0000-0000-000085010000}"/>
    <cellStyle name="Moeda 6 2 2 2" xfId="391" xr:uid="{00000000-0005-0000-0000-000086010000}"/>
    <cellStyle name="Moeda 6 3" xfId="392" xr:uid="{00000000-0005-0000-0000-000087010000}"/>
    <cellStyle name="Moeda 6 4" xfId="393" xr:uid="{00000000-0005-0000-0000-000088010000}"/>
    <cellStyle name="Moeda 6 4 2" xfId="394" xr:uid="{00000000-0005-0000-0000-000089010000}"/>
    <cellStyle name="Moeda 6_AQPNG_ORC_R01_2013_11_22(OBRA COMPLETA) 29112013-2" xfId="395" xr:uid="{00000000-0005-0000-0000-00008A010000}"/>
    <cellStyle name="Moeda 7" xfId="396" xr:uid="{00000000-0005-0000-0000-00008B010000}"/>
    <cellStyle name="Moeda 7 2" xfId="397" xr:uid="{00000000-0005-0000-0000-00008C010000}"/>
    <cellStyle name="Moeda 8" xfId="398" xr:uid="{00000000-0005-0000-0000-00008D010000}"/>
    <cellStyle name="Moeda 8 2" xfId="399" xr:uid="{00000000-0005-0000-0000-00008E010000}"/>
    <cellStyle name="Moeda 9" xfId="400" xr:uid="{00000000-0005-0000-0000-00008F010000}"/>
    <cellStyle name="Moneda [0]_10 AVERIAS MASIVAS + ANT" xfId="401" xr:uid="{00000000-0005-0000-0000-000090010000}"/>
    <cellStyle name="Moneda_10 AVERIAS MASIVAS + ANT" xfId="402" xr:uid="{00000000-0005-0000-0000-000091010000}"/>
    <cellStyle name="Monetario" xfId="403" xr:uid="{00000000-0005-0000-0000-000092010000}"/>
    <cellStyle name="Neutra 2" xfId="404" xr:uid="{00000000-0005-0000-0000-000093010000}"/>
    <cellStyle name="Neutra 3" xfId="405" xr:uid="{00000000-0005-0000-0000-000094010000}"/>
    <cellStyle name="Neutro" xfId="406" xr:uid="{00000000-0005-0000-0000-000095010000}"/>
    <cellStyle name="Neutro 2" xfId="407" xr:uid="{00000000-0005-0000-0000-000096010000}"/>
    <cellStyle name="no dec" xfId="408" xr:uid="{00000000-0005-0000-0000-000097010000}"/>
    <cellStyle name="Normal" xfId="0" builtinId="0"/>
    <cellStyle name="Normal - Style1" xfId="409" xr:uid="{00000000-0005-0000-0000-000099010000}"/>
    <cellStyle name="Normal 10" xfId="410" xr:uid="{00000000-0005-0000-0000-00009A010000}"/>
    <cellStyle name="Normal 10 2" xfId="411" xr:uid="{00000000-0005-0000-0000-00009B010000}"/>
    <cellStyle name="Normal 10 3" xfId="412" xr:uid="{00000000-0005-0000-0000-00009C010000}"/>
    <cellStyle name="Normal 10 3 2" xfId="413" xr:uid="{00000000-0005-0000-0000-00009D010000}"/>
    <cellStyle name="Normal 10 4" xfId="414" xr:uid="{00000000-0005-0000-0000-00009E010000}"/>
    <cellStyle name="Normal 10 5" xfId="415" xr:uid="{00000000-0005-0000-0000-00009F010000}"/>
    <cellStyle name="Normal 10_AQPNG_ORC_R01_2013_11_22(OBRA COMPLETA) 29112013-2" xfId="416" xr:uid="{00000000-0005-0000-0000-0000A0010000}"/>
    <cellStyle name="Normal 11" xfId="417" xr:uid="{00000000-0005-0000-0000-0000A1010000}"/>
    <cellStyle name="Normal 11 2" xfId="418" xr:uid="{00000000-0005-0000-0000-0000A2010000}"/>
    <cellStyle name="Normal 11 2 2" xfId="419" xr:uid="{00000000-0005-0000-0000-0000A3010000}"/>
    <cellStyle name="Normal 11 3" xfId="420" xr:uid="{00000000-0005-0000-0000-0000A4010000}"/>
    <cellStyle name="Normal 11 4" xfId="421" xr:uid="{00000000-0005-0000-0000-0000A5010000}"/>
    <cellStyle name="Normal 11 5" xfId="422" xr:uid="{00000000-0005-0000-0000-0000A6010000}"/>
    <cellStyle name="Normal 11_AQPNG_ORC_R01_2013_11_22(OBRA COMPLETA) 29112013-2" xfId="423" xr:uid="{00000000-0005-0000-0000-0000A7010000}"/>
    <cellStyle name="Normal 12" xfId="424" xr:uid="{00000000-0005-0000-0000-0000A8010000}"/>
    <cellStyle name="Normal 12 2" xfId="425" xr:uid="{00000000-0005-0000-0000-0000A9010000}"/>
    <cellStyle name="Normal 12 2 2" xfId="426" xr:uid="{00000000-0005-0000-0000-0000AA010000}"/>
    <cellStyle name="Normal 12 2 2 2" xfId="427" xr:uid="{00000000-0005-0000-0000-0000AB010000}"/>
    <cellStyle name="Normal 12 2 2 3" xfId="428" xr:uid="{00000000-0005-0000-0000-0000AC010000}"/>
    <cellStyle name="Normal 12 2 3" xfId="429" xr:uid="{00000000-0005-0000-0000-0000AD010000}"/>
    <cellStyle name="Normal 12 2 3 2" xfId="430" xr:uid="{00000000-0005-0000-0000-0000AE010000}"/>
    <cellStyle name="Normal 12 2 3 3" xfId="431" xr:uid="{00000000-0005-0000-0000-0000AF010000}"/>
    <cellStyle name="Normal 12 2 4" xfId="432" xr:uid="{00000000-0005-0000-0000-0000B0010000}"/>
    <cellStyle name="Normal 12 2 5" xfId="433" xr:uid="{00000000-0005-0000-0000-0000B1010000}"/>
    <cellStyle name="Normal 12 2_CÁLCULO DE HORAS - tabela MARÇO 2014" xfId="434" xr:uid="{00000000-0005-0000-0000-0000B2010000}"/>
    <cellStyle name="Normal 12 3" xfId="435" xr:uid="{00000000-0005-0000-0000-0000B3010000}"/>
    <cellStyle name="Normal 12 3 2" xfId="436" xr:uid="{00000000-0005-0000-0000-0000B4010000}"/>
    <cellStyle name="Normal 12 3 2 2" xfId="437" xr:uid="{00000000-0005-0000-0000-0000B5010000}"/>
    <cellStyle name="Normal 12 3 2 3" xfId="438" xr:uid="{00000000-0005-0000-0000-0000B6010000}"/>
    <cellStyle name="Normal 12 3 3" xfId="439" xr:uid="{00000000-0005-0000-0000-0000B7010000}"/>
    <cellStyle name="Normal 12 3 4" xfId="440" xr:uid="{00000000-0005-0000-0000-0000B8010000}"/>
    <cellStyle name="Normal 12 3_CÁLCULO DE HORAS - tabela MARÇO 2014" xfId="441" xr:uid="{00000000-0005-0000-0000-0000B9010000}"/>
    <cellStyle name="Normal 12 4" xfId="442" xr:uid="{00000000-0005-0000-0000-0000BA010000}"/>
    <cellStyle name="Normal 12 4 2" xfId="443" xr:uid="{00000000-0005-0000-0000-0000BB010000}"/>
    <cellStyle name="Normal 12 4 3" xfId="444" xr:uid="{00000000-0005-0000-0000-0000BC010000}"/>
    <cellStyle name="Normal 12 5" xfId="445" xr:uid="{00000000-0005-0000-0000-0000BD010000}"/>
    <cellStyle name="Normal 12 5 2" xfId="446" xr:uid="{00000000-0005-0000-0000-0000BE010000}"/>
    <cellStyle name="Normal 12 5 3" xfId="447" xr:uid="{00000000-0005-0000-0000-0000BF010000}"/>
    <cellStyle name="Normal 12_AQPNG_ORC_R01_2013_11_22(OBRA COMPLETA) 29112013-2" xfId="448" xr:uid="{00000000-0005-0000-0000-0000C0010000}"/>
    <cellStyle name="Normal 13" xfId="449" xr:uid="{00000000-0005-0000-0000-0000C1010000}"/>
    <cellStyle name="Normal 14" xfId="450" xr:uid="{00000000-0005-0000-0000-0000C2010000}"/>
    <cellStyle name="Normal 15" xfId="451" xr:uid="{00000000-0005-0000-0000-0000C3010000}"/>
    <cellStyle name="Normal 16" xfId="452" xr:uid="{00000000-0005-0000-0000-0000C4010000}"/>
    <cellStyle name="Normal 17" xfId="453" xr:uid="{00000000-0005-0000-0000-0000C5010000}"/>
    <cellStyle name="Normal 18" xfId="454" xr:uid="{00000000-0005-0000-0000-0000C6010000}"/>
    <cellStyle name="Normal 19" xfId="455" xr:uid="{00000000-0005-0000-0000-0000C7010000}"/>
    <cellStyle name="Normal 2" xfId="456" xr:uid="{00000000-0005-0000-0000-0000C8010000}"/>
    <cellStyle name="Normal 2 2" xfId="457" xr:uid="{00000000-0005-0000-0000-0000C9010000}"/>
    <cellStyle name="Normal 2 2 2" xfId="458" xr:uid="{00000000-0005-0000-0000-0000CA010000}"/>
    <cellStyle name="Normal 2 2 3" xfId="459" xr:uid="{00000000-0005-0000-0000-0000CB010000}"/>
    <cellStyle name="Normal 2 2 3 2" xfId="460" xr:uid="{00000000-0005-0000-0000-0000CC010000}"/>
    <cellStyle name="Normal 2 2 4" xfId="461" xr:uid="{00000000-0005-0000-0000-0000CD010000}"/>
    <cellStyle name="Normal 2 2 4 2" xfId="462" xr:uid="{00000000-0005-0000-0000-0000CE010000}"/>
    <cellStyle name="Normal 2 2 5" xfId="463" xr:uid="{00000000-0005-0000-0000-0000CF010000}"/>
    <cellStyle name="Normal 2 2 6" xfId="464" xr:uid="{00000000-0005-0000-0000-0000D0010000}"/>
    <cellStyle name="Normal 2 2 7" xfId="465" xr:uid="{00000000-0005-0000-0000-0000D1010000}"/>
    <cellStyle name="Normal 2 2_CEEP BANDEIRANTES - REV. SUELY" xfId="466" xr:uid="{00000000-0005-0000-0000-0000D2010000}"/>
    <cellStyle name="Normal 2 3" xfId="467" xr:uid="{00000000-0005-0000-0000-0000D3010000}"/>
    <cellStyle name="Normal 2 3 2" xfId="468" xr:uid="{00000000-0005-0000-0000-0000D4010000}"/>
    <cellStyle name="Normal 2 3 2 2" xfId="469" xr:uid="{00000000-0005-0000-0000-0000D5010000}"/>
    <cellStyle name="Normal 2 3 2 3" xfId="470" xr:uid="{00000000-0005-0000-0000-0000D6010000}"/>
    <cellStyle name="Normal 2 3 3" xfId="471" xr:uid="{00000000-0005-0000-0000-0000D7010000}"/>
    <cellStyle name="Normal 2 3 4" xfId="472" xr:uid="{00000000-0005-0000-0000-0000D8010000}"/>
    <cellStyle name="Normal 2 4" xfId="473" xr:uid="{00000000-0005-0000-0000-0000D9010000}"/>
    <cellStyle name="Normal 2 4 2" xfId="474" xr:uid="{00000000-0005-0000-0000-0000DA010000}"/>
    <cellStyle name="Normal 2 5" xfId="475" xr:uid="{00000000-0005-0000-0000-0000DB010000}"/>
    <cellStyle name="Normal 2 6" xfId="476" xr:uid="{00000000-0005-0000-0000-0000DC010000}"/>
    <cellStyle name="Normal 2 7" xfId="477" xr:uid="{00000000-0005-0000-0000-0000DD010000}"/>
    <cellStyle name="Normal 2 7 2" xfId="478" xr:uid="{00000000-0005-0000-0000-0000DE010000}"/>
    <cellStyle name="Normal 2 8" xfId="479" xr:uid="{00000000-0005-0000-0000-0000DF010000}"/>
    <cellStyle name="Normal 2 8 2" xfId="480" xr:uid="{00000000-0005-0000-0000-0000E0010000}"/>
    <cellStyle name="Normal 2 9" xfId="830" xr:uid="{62445408-9E94-4A39-8934-2271B5B56DA9}"/>
    <cellStyle name="Normal 2_0130.02.IMUNIZAÇÃO SGA_PLANILHA ORÇAMENTARIA.R05" xfId="481" xr:uid="{00000000-0005-0000-0000-0000E1010000}"/>
    <cellStyle name="Normal 20" xfId="482" xr:uid="{00000000-0005-0000-0000-0000E2010000}"/>
    <cellStyle name="Normal 21" xfId="483" xr:uid="{00000000-0005-0000-0000-0000E3010000}"/>
    <cellStyle name="Normal 22" xfId="484" xr:uid="{00000000-0005-0000-0000-0000E4010000}"/>
    <cellStyle name="Normal 23" xfId="485" xr:uid="{00000000-0005-0000-0000-0000E5010000}"/>
    <cellStyle name="Normal 24" xfId="486" xr:uid="{00000000-0005-0000-0000-0000E6010000}"/>
    <cellStyle name="Normal 25" xfId="487" xr:uid="{00000000-0005-0000-0000-0000E7010000}"/>
    <cellStyle name="Normal 26" xfId="488" xr:uid="{00000000-0005-0000-0000-0000E8010000}"/>
    <cellStyle name="Normal 27" xfId="489" xr:uid="{00000000-0005-0000-0000-0000E9010000}"/>
    <cellStyle name="Normal 27 2" xfId="490" xr:uid="{00000000-0005-0000-0000-0000EA010000}"/>
    <cellStyle name="Normal 27 3" xfId="491" xr:uid="{00000000-0005-0000-0000-0000EB010000}"/>
    <cellStyle name="Normal 27 3 2" xfId="492" xr:uid="{00000000-0005-0000-0000-0000EC010000}"/>
    <cellStyle name="Normal 28" xfId="493" xr:uid="{00000000-0005-0000-0000-0000ED010000}"/>
    <cellStyle name="Normal 29" xfId="494" xr:uid="{00000000-0005-0000-0000-0000EE010000}"/>
    <cellStyle name="Normal 3" xfId="495" xr:uid="{00000000-0005-0000-0000-0000EF010000}"/>
    <cellStyle name="Normal 3 2" xfId="496" xr:uid="{00000000-0005-0000-0000-0000F0010000}"/>
    <cellStyle name="Normal 3 3" xfId="497" xr:uid="{00000000-0005-0000-0000-0000F1010000}"/>
    <cellStyle name="Normal 3 3 2" xfId="498" xr:uid="{00000000-0005-0000-0000-0000F2010000}"/>
    <cellStyle name="Normal 3 4" xfId="499" xr:uid="{00000000-0005-0000-0000-0000F3010000}"/>
    <cellStyle name="Normal 3 5" xfId="500" xr:uid="{00000000-0005-0000-0000-0000F4010000}"/>
    <cellStyle name="Normal 3 6" xfId="501" xr:uid="{00000000-0005-0000-0000-0000F5010000}"/>
    <cellStyle name="Normal 3_Planilha RETROFIT PALÁCIO - VRF  DEZEMBRO  2013 CRONOGRAMA 15 MESES _ R02 - 2" xfId="502" xr:uid="{00000000-0005-0000-0000-0000F6010000}"/>
    <cellStyle name="Normal 30" xfId="503" xr:uid="{00000000-0005-0000-0000-0000F7010000}"/>
    <cellStyle name="Normal 31" xfId="504" xr:uid="{00000000-0005-0000-0000-0000F8010000}"/>
    <cellStyle name="Normal 32" xfId="505" xr:uid="{00000000-0005-0000-0000-0000F9010000}"/>
    <cellStyle name="Normal 33" xfId="506" xr:uid="{00000000-0005-0000-0000-0000FA010000}"/>
    <cellStyle name="Normal 4" xfId="507" xr:uid="{00000000-0005-0000-0000-0000FB010000}"/>
    <cellStyle name="Normal 4 10" xfId="508" xr:uid="{00000000-0005-0000-0000-0000FC010000}"/>
    <cellStyle name="Normal 4 2" xfId="509" xr:uid="{00000000-0005-0000-0000-0000FD010000}"/>
    <cellStyle name="Normal 4 3" xfId="510" xr:uid="{00000000-0005-0000-0000-0000FE010000}"/>
    <cellStyle name="Normal 4 3 2" xfId="511" xr:uid="{00000000-0005-0000-0000-0000FF010000}"/>
    <cellStyle name="Normal 4 3 2 2" xfId="512" xr:uid="{00000000-0005-0000-0000-000000020000}"/>
    <cellStyle name="Normal 4 3 3" xfId="513" xr:uid="{00000000-0005-0000-0000-000001020000}"/>
    <cellStyle name="Normal 4 3 4" xfId="514" xr:uid="{00000000-0005-0000-0000-000002020000}"/>
    <cellStyle name="Normal 4 3_AQPNG_ORC_R01_2013_11_22(OBRA COMPLETA) 29112013-2" xfId="515" xr:uid="{00000000-0005-0000-0000-000003020000}"/>
    <cellStyle name="Normal 4 4" xfId="516" xr:uid="{00000000-0005-0000-0000-000004020000}"/>
    <cellStyle name="Normal 4 4 2" xfId="517" xr:uid="{00000000-0005-0000-0000-000005020000}"/>
    <cellStyle name="Normal 4 5" xfId="518" xr:uid="{00000000-0005-0000-0000-000006020000}"/>
    <cellStyle name="Normal 4 6" xfId="519" xr:uid="{00000000-0005-0000-0000-000007020000}"/>
    <cellStyle name="Normal 4 7" xfId="520" xr:uid="{00000000-0005-0000-0000-000008020000}"/>
    <cellStyle name="Normal 4 8" xfId="521" xr:uid="{00000000-0005-0000-0000-000009020000}"/>
    <cellStyle name="Normal 4_CEEP BANDEIRANTES - REV. SUELY" xfId="522" xr:uid="{00000000-0005-0000-0000-00000A020000}"/>
    <cellStyle name="Normal 40" xfId="523" xr:uid="{00000000-0005-0000-0000-00000B020000}"/>
    <cellStyle name="Normal 44" xfId="524" xr:uid="{00000000-0005-0000-0000-00000C020000}"/>
    <cellStyle name="Normal 5" xfId="525" xr:uid="{00000000-0005-0000-0000-00000D020000}"/>
    <cellStyle name="Normal 5 2" xfId="526" xr:uid="{00000000-0005-0000-0000-00000E020000}"/>
    <cellStyle name="Normal 5 3" xfId="527" xr:uid="{00000000-0005-0000-0000-00000F020000}"/>
    <cellStyle name="Normal 5 4" xfId="528" xr:uid="{00000000-0005-0000-0000-000010020000}"/>
    <cellStyle name="Normal 6" xfId="529" xr:uid="{00000000-0005-0000-0000-000011020000}"/>
    <cellStyle name="Normal 6 2" xfId="530" xr:uid="{00000000-0005-0000-0000-000012020000}"/>
    <cellStyle name="Normal 6 2 2" xfId="531" xr:uid="{00000000-0005-0000-0000-000013020000}"/>
    <cellStyle name="Normal 6 3" xfId="532" xr:uid="{00000000-0005-0000-0000-000014020000}"/>
    <cellStyle name="Normal 6_Cópia de CEEP INDÍGENA DO PARANÁ  - LICITAÇÃO" xfId="533" xr:uid="{00000000-0005-0000-0000-000015020000}"/>
    <cellStyle name="Normal 7" xfId="534" xr:uid="{00000000-0005-0000-0000-000016020000}"/>
    <cellStyle name="Normal 7 2" xfId="535" xr:uid="{00000000-0005-0000-0000-000017020000}"/>
    <cellStyle name="Normal 8" xfId="536" xr:uid="{00000000-0005-0000-0000-000018020000}"/>
    <cellStyle name="Normal 8 2" xfId="537" xr:uid="{00000000-0005-0000-0000-000019020000}"/>
    <cellStyle name="Normal 8 3" xfId="538" xr:uid="{00000000-0005-0000-0000-00001A020000}"/>
    <cellStyle name="Normal 9" xfId="539" xr:uid="{00000000-0005-0000-0000-00001B020000}"/>
    <cellStyle name="Normal 9 2" xfId="540" xr:uid="{00000000-0005-0000-0000-00001C020000}"/>
    <cellStyle name="Normal 9 3" xfId="541" xr:uid="{00000000-0005-0000-0000-00001D020000}"/>
    <cellStyle name="Normal 9_AQPNG_ORC_R01_2013_11_22(OBRA COMPLETA) 29112013-2" xfId="542" xr:uid="{00000000-0005-0000-0000-00001E020000}"/>
    <cellStyle name="Normal_ELETRICA_2" xfId="839" xr:uid="{D3FBB41A-65D0-4384-BB74-8ADA6B493EFA}"/>
    <cellStyle name="Normal_pLANILHA DE BDI_MODELO v2_EXCEL" xfId="834" xr:uid="{6C2F642A-4513-4B00-8B4B-97010FA707E2}"/>
    <cellStyle name="Nota 2" xfId="543" xr:uid="{00000000-0005-0000-0000-00001F020000}"/>
    <cellStyle name="Nota 2 2" xfId="544" xr:uid="{00000000-0005-0000-0000-000020020000}"/>
    <cellStyle name="Nota 2 2 2" xfId="545" xr:uid="{00000000-0005-0000-0000-000021020000}"/>
    <cellStyle name="Nota 2 2_CÁLCULO DE HORAS - tabela MARÇO 2014" xfId="546" xr:uid="{00000000-0005-0000-0000-000022020000}"/>
    <cellStyle name="Nota 2 3" xfId="547" xr:uid="{00000000-0005-0000-0000-000023020000}"/>
    <cellStyle name="Nota 2 3 2" xfId="548" xr:uid="{00000000-0005-0000-0000-000024020000}"/>
    <cellStyle name="Nota 2 3_CÁLCULO DE HORAS - tabela MARÇO 2014" xfId="549" xr:uid="{00000000-0005-0000-0000-000025020000}"/>
    <cellStyle name="Nota 2 4" xfId="550" xr:uid="{00000000-0005-0000-0000-000026020000}"/>
    <cellStyle name="Nota 2_AQPNG_ORC_R01_2013_11_22(OBRA COMPLETA) 29112013-2" xfId="551" xr:uid="{00000000-0005-0000-0000-000027020000}"/>
    <cellStyle name="Nota 3" xfId="552" xr:uid="{00000000-0005-0000-0000-000028020000}"/>
    <cellStyle name="Nota 3 2" xfId="553" xr:uid="{00000000-0005-0000-0000-000029020000}"/>
    <cellStyle name="Nota 3_CÁLCULO DE HORAS - tabela MARÇO 2014" xfId="554" xr:uid="{00000000-0005-0000-0000-00002A020000}"/>
    <cellStyle name="Nota 4" xfId="555" xr:uid="{00000000-0005-0000-0000-00002B020000}"/>
    <cellStyle name="Nota 5" xfId="556" xr:uid="{00000000-0005-0000-0000-00002C020000}"/>
    <cellStyle name="Nota 6" xfId="557" xr:uid="{00000000-0005-0000-0000-00002D020000}"/>
    <cellStyle name="Nota 6 2" xfId="558" xr:uid="{00000000-0005-0000-0000-00002E020000}"/>
    <cellStyle name="Percent" xfId="559" xr:uid="{00000000-0005-0000-0000-00002F020000}"/>
    <cellStyle name="Percent [2]" xfId="560" xr:uid="{00000000-0005-0000-0000-000030020000}"/>
    <cellStyle name="Percentagem 2" xfId="561" xr:uid="{00000000-0005-0000-0000-000031020000}"/>
    <cellStyle name="Percentagem 2 2" xfId="562" xr:uid="{00000000-0005-0000-0000-000032020000}"/>
    <cellStyle name="Percentagem 2 3" xfId="563" xr:uid="{00000000-0005-0000-0000-000033020000}"/>
    <cellStyle name="Percentagem 2_AQPNG_ORC_R01_2013_11_22(OBRA COMPLETA) 29112013-2" xfId="564" xr:uid="{00000000-0005-0000-0000-000034020000}"/>
    <cellStyle name="Percentagem 3" xfId="565" xr:uid="{00000000-0005-0000-0000-000035020000}"/>
    <cellStyle name="Percentagem 3 2" xfId="566" xr:uid="{00000000-0005-0000-0000-000036020000}"/>
    <cellStyle name="Percentagem 3_AQPNG_ORC_R01_2013_11_22(OBRA COMPLETA) 29112013-2" xfId="567" xr:uid="{00000000-0005-0000-0000-000037020000}"/>
    <cellStyle name="Percentagem 4" xfId="568" xr:uid="{00000000-0005-0000-0000-000038020000}"/>
    <cellStyle name="Percentagem 4 2" xfId="569" xr:uid="{00000000-0005-0000-0000-000039020000}"/>
    <cellStyle name="Percentagem 4_AQPNG_ORC_R01_2013_11_22(OBRA COMPLETA) 29112013-2" xfId="570" xr:uid="{00000000-0005-0000-0000-00003A020000}"/>
    <cellStyle name="PLANILHA ANALITICA" xfId="571" xr:uid="{00000000-0005-0000-0000-00003B020000}"/>
    <cellStyle name="PLANILHA ANALITICA 2" xfId="572" xr:uid="{00000000-0005-0000-0000-00003C020000}"/>
    <cellStyle name="PLANILHA ANALITICA_AQPNG_ORC_R01_2013_11_22(OBRA COMPLETA) 29112013-2" xfId="573" xr:uid="{00000000-0005-0000-0000-00003D020000}"/>
    <cellStyle name="planilhas" xfId="574" xr:uid="{00000000-0005-0000-0000-00003E020000}"/>
    <cellStyle name="Porcentagem" xfId="829" builtinId="5"/>
    <cellStyle name="Porcentagem 10" xfId="575" xr:uid="{00000000-0005-0000-0000-00003F020000}"/>
    <cellStyle name="Porcentagem 10 2" xfId="831" xr:uid="{5D5536C0-D089-43DC-9076-CDC44DAA700A}"/>
    <cellStyle name="Porcentagem 11" xfId="833" xr:uid="{B10CCA60-7AAC-4D58-A10B-B8F01DAC6E04}"/>
    <cellStyle name="Porcentagem 2" xfId="576" xr:uid="{00000000-0005-0000-0000-000040020000}"/>
    <cellStyle name="Porcentagem 2 10" xfId="577" xr:uid="{00000000-0005-0000-0000-000041020000}"/>
    <cellStyle name="Porcentagem 2 2" xfId="578" xr:uid="{00000000-0005-0000-0000-000042020000}"/>
    <cellStyle name="Porcentagem 2 2 2" xfId="579" xr:uid="{00000000-0005-0000-0000-000043020000}"/>
    <cellStyle name="Porcentagem 2 2_AQPNG_ORC_R01_2013_11_22(OBRA COMPLETA) 29112013-2" xfId="580" xr:uid="{00000000-0005-0000-0000-000044020000}"/>
    <cellStyle name="Porcentagem 2 3" xfId="581" xr:uid="{00000000-0005-0000-0000-000045020000}"/>
    <cellStyle name="Porcentagem 2 3 2" xfId="582" xr:uid="{00000000-0005-0000-0000-000046020000}"/>
    <cellStyle name="Porcentagem 2 3_AQPNG_ORC_R01_2013_11_22(OBRA COMPLETA) 29112013-2" xfId="583" xr:uid="{00000000-0005-0000-0000-000047020000}"/>
    <cellStyle name="Porcentagem 2 4" xfId="584" xr:uid="{00000000-0005-0000-0000-000048020000}"/>
    <cellStyle name="Porcentagem 2 4 2" xfId="585" xr:uid="{00000000-0005-0000-0000-000049020000}"/>
    <cellStyle name="Porcentagem 2 4_AQPNG_ORC_R01_2013_11_22(OBRA COMPLETA) 29112013-2" xfId="586" xr:uid="{00000000-0005-0000-0000-00004A020000}"/>
    <cellStyle name="Porcentagem 2 5" xfId="587" xr:uid="{00000000-0005-0000-0000-00004B020000}"/>
    <cellStyle name="Porcentagem 2 5 2" xfId="588" xr:uid="{00000000-0005-0000-0000-00004C020000}"/>
    <cellStyle name="Porcentagem 2 5_AQPNG_ORC_R01_2013_11_22(OBRA COMPLETA) 29112013-2" xfId="589" xr:uid="{00000000-0005-0000-0000-00004D020000}"/>
    <cellStyle name="Porcentagem 2 6" xfId="590" xr:uid="{00000000-0005-0000-0000-00004E020000}"/>
    <cellStyle name="Porcentagem 2 6 2" xfId="591" xr:uid="{00000000-0005-0000-0000-00004F020000}"/>
    <cellStyle name="Porcentagem 2 7" xfId="592" xr:uid="{00000000-0005-0000-0000-000050020000}"/>
    <cellStyle name="Porcentagem 2 8" xfId="593" xr:uid="{00000000-0005-0000-0000-000051020000}"/>
    <cellStyle name="Porcentagem 2 9" xfId="594" xr:uid="{00000000-0005-0000-0000-000052020000}"/>
    <cellStyle name="Porcentagem 2_AQPNG_ORC_R01_2013_11_22(OBRA COMPLETA) 29112013-2" xfId="595" xr:uid="{00000000-0005-0000-0000-000053020000}"/>
    <cellStyle name="Porcentagem 3" xfId="596" xr:uid="{00000000-0005-0000-0000-000054020000}"/>
    <cellStyle name="Porcentagem 3 2" xfId="597" xr:uid="{00000000-0005-0000-0000-000055020000}"/>
    <cellStyle name="Porcentagem 3 3" xfId="598" xr:uid="{00000000-0005-0000-0000-000056020000}"/>
    <cellStyle name="Porcentagem 3 4" xfId="599" xr:uid="{00000000-0005-0000-0000-000057020000}"/>
    <cellStyle name="Porcentagem 3_AQPNG_ORC_R01_2013_11_22(OBRA COMPLETA) 29112013-2" xfId="600" xr:uid="{00000000-0005-0000-0000-000058020000}"/>
    <cellStyle name="Porcentagem 4" xfId="601" xr:uid="{00000000-0005-0000-0000-000059020000}"/>
    <cellStyle name="Porcentagem 4 2" xfId="602" xr:uid="{00000000-0005-0000-0000-00005A020000}"/>
    <cellStyle name="Porcentagem 4 2 2" xfId="603" xr:uid="{00000000-0005-0000-0000-00005B020000}"/>
    <cellStyle name="Porcentagem 4 3" xfId="604" xr:uid="{00000000-0005-0000-0000-00005C020000}"/>
    <cellStyle name="Porcentagem 4 4" xfId="605" xr:uid="{00000000-0005-0000-0000-00005D020000}"/>
    <cellStyle name="Porcentagem 4 5" xfId="606" xr:uid="{00000000-0005-0000-0000-00005E020000}"/>
    <cellStyle name="Porcentagem 4_AQPNG_ORC_R01_2013_11_22(OBRA COMPLETA) 29112013-2" xfId="607" xr:uid="{00000000-0005-0000-0000-00005F020000}"/>
    <cellStyle name="Porcentagem 5" xfId="608" xr:uid="{00000000-0005-0000-0000-000060020000}"/>
    <cellStyle name="Porcentagem 6" xfId="609" xr:uid="{00000000-0005-0000-0000-000061020000}"/>
    <cellStyle name="Porcentagem 7" xfId="610" xr:uid="{00000000-0005-0000-0000-000062020000}"/>
    <cellStyle name="Porcentagem 8" xfId="611" xr:uid="{00000000-0005-0000-0000-000063020000}"/>
    <cellStyle name="Porcentagem 9" xfId="612" xr:uid="{00000000-0005-0000-0000-000064020000}"/>
    <cellStyle name="Porcentagem_pLANILHA DE BDI_MODELO v2_EXCEL" xfId="835" xr:uid="{2E2C759B-CD06-4C34-873E-4CA8AADEAE73}"/>
    <cellStyle name="Porcentaje" xfId="613" xr:uid="{00000000-0005-0000-0000-000065020000}"/>
    <cellStyle name="RM" xfId="614" xr:uid="{00000000-0005-0000-0000-000066020000}"/>
    <cellStyle name="Saída 2" xfId="615" xr:uid="{00000000-0005-0000-0000-000067020000}"/>
    <cellStyle name="Saída 2 2" xfId="616" xr:uid="{00000000-0005-0000-0000-000068020000}"/>
    <cellStyle name="Saída 2 2 2" xfId="617" xr:uid="{00000000-0005-0000-0000-000069020000}"/>
    <cellStyle name="Saída 2 2_CÁLCULO DE HORAS - tabela MARÇO 2014" xfId="618" xr:uid="{00000000-0005-0000-0000-00006A020000}"/>
    <cellStyle name="Saída 2 3" xfId="619" xr:uid="{00000000-0005-0000-0000-00006B020000}"/>
    <cellStyle name="Saída 2 3 2" xfId="620" xr:uid="{00000000-0005-0000-0000-00006C020000}"/>
    <cellStyle name="Saída 2 3_CÁLCULO DE HORAS - tabela MARÇO 2014" xfId="621" xr:uid="{00000000-0005-0000-0000-00006D020000}"/>
    <cellStyle name="Saída 2 4" xfId="622" xr:uid="{00000000-0005-0000-0000-00006E020000}"/>
    <cellStyle name="Saída 2_AQPNG_ORC_R01_2013_11_22(OBRA COMPLETA) 29112013-2" xfId="623" xr:uid="{00000000-0005-0000-0000-00006F020000}"/>
    <cellStyle name="Saída 3" xfId="624" xr:uid="{00000000-0005-0000-0000-000070020000}"/>
    <cellStyle name="Saída 3 2" xfId="625" xr:uid="{00000000-0005-0000-0000-000071020000}"/>
    <cellStyle name="Saída 3_CÁLCULO DE HORAS - tabela MARÇO 2014" xfId="626" xr:uid="{00000000-0005-0000-0000-000072020000}"/>
    <cellStyle name="Separador de m" xfId="627" xr:uid="{00000000-0005-0000-0000-000073020000}"/>
    <cellStyle name="Separador de milhares 2" xfId="628" xr:uid="{00000000-0005-0000-0000-000074020000}"/>
    <cellStyle name="Separador de milhares 2 10" xfId="629" xr:uid="{00000000-0005-0000-0000-000075020000}"/>
    <cellStyle name="Separador de milhares 2 10 2" xfId="630" xr:uid="{00000000-0005-0000-0000-000076020000}"/>
    <cellStyle name="Separador de milhares 2 10 2 2" xfId="631" xr:uid="{00000000-0005-0000-0000-000077020000}"/>
    <cellStyle name="Separador de milhares 2 2" xfId="632" xr:uid="{00000000-0005-0000-0000-000078020000}"/>
    <cellStyle name="Separador de milhares 2 2 2" xfId="633" xr:uid="{00000000-0005-0000-0000-000079020000}"/>
    <cellStyle name="Separador de milhares 2 2_AQPNG_ORC_R01_2013_11_22(OBRA COMPLETA) 29112013-2" xfId="634" xr:uid="{00000000-0005-0000-0000-00007A020000}"/>
    <cellStyle name="Separador de milhares 2 3" xfId="635" xr:uid="{00000000-0005-0000-0000-00007B020000}"/>
    <cellStyle name="Separador de milhares 2 3 2" xfId="636" xr:uid="{00000000-0005-0000-0000-00007C020000}"/>
    <cellStyle name="Separador de milhares 2 3_AQPNG_ORC_R01_2013_11_22(OBRA COMPLETA) 29112013-2" xfId="637" xr:uid="{00000000-0005-0000-0000-00007D020000}"/>
    <cellStyle name="Separador de milhares 2 4" xfId="638" xr:uid="{00000000-0005-0000-0000-00007E020000}"/>
    <cellStyle name="Separador de milhares 2 4 2" xfId="639" xr:uid="{00000000-0005-0000-0000-00007F020000}"/>
    <cellStyle name="Separador de milhares 2 4_AQPNG_ORC_R01_2013_11_22(OBRA COMPLETA) 29112013-2" xfId="640" xr:uid="{00000000-0005-0000-0000-000080020000}"/>
    <cellStyle name="Separador de milhares 2 5" xfId="641" xr:uid="{00000000-0005-0000-0000-000081020000}"/>
    <cellStyle name="Separador de milhares 2 5 2" xfId="642" xr:uid="{00000000-0005-0000-0000-000082020000}"/>
    <cellStyle name="Separador de milhares 2 5 2 2" xfId="643" xr:uid="{00000000-0005-0000-0000-000083020000}"/>
    <cellStyle name="Separador de milhares 2 5 3" xfId="644" xr:uid="{00000000-0005-0000-0000-000084020000}"/>
    <cellStyle name="Separador de milhares 2 5_AQPNG_ORC_R01_2013_11_22(OBRA COMPLETA) 29112013-2" xfId="645" xr:uid="{00000000-0005-0000-0000-000085020000}"/>
    <cellStyle name="Separador de milhares 2 6" xfId="646" xr:uid="{00000000-0005-0000-0000-000086020000}"/>
    <cellStyle name="Separador de milhares 2 6 2" xfId="647" xr:uid="{00000000-0005-0000-0000-000087020000}"/>
    <cellStyle name="Separador de milhares 2 6 3" xfId="648" xr:uid="{00000000-0005-0000-0000-000088020000}"/>
    <cellStyle name="Separador de milhares 2 7" xfId="649" xr:uid="{00000000-0005-0000-0000-000089020000}"/>
    <cellStyle name="Separador de milhares 2 7 2" xfId="650" xr:uid="{00000000-0005-0000-0000-00008A020000}"/>
    <cellStyle name="Separador de milhares 2 7 2 2" xfId="651" xr:uid="{00000000-0005-0000-0000-00008B020000}"/>
    <cellStyle name="Separador de milhares 2 8" xfId="652" xr:uid="{00000000-0005-0000-0000-00008C020000}"/>
    <cellStyle name="Separador de milhares 2 8 2" xfId="653" xr:uid="{00000000-0005-0000-0000-00008D020000}"/>
    <cellStyle name="Separador de milhares 2 8 2 2" xfId="654" xr:uid="{00000000-0005-0000-0000-00008E020000}"/>
    <cellStyle name="Separador de milhares 2 9" xfId="655" xr:uid="{00000000-0005-0000-0000-00008F020000}"/>
    <cellStyle name="Separador de milhares 2 9 2" xfId="656" xr:uid="{00000000-0005-0000-0000-000090020000}"/>
    <cellStyle name="Separador de milhares 2 9 2 2" xfId="657" xr:uid="{00000000-0005-0000-0000-000091020000}"/>
    <cellStyle name="Separador de milhares 2_AQPNG_ORC_R01_2013_11_22(OBRA COMPLETA) 29112013-2" xfId="658" xr:uid="{00000000-0005-0000-0000-000092020000}"/>
    <cellStyle name="Separador de milhares 3" xfId="659" xr:uid="{00000000-0005-0000-0000-000093020000}"/>
    <cellStyle name="Separador de milhares 3 2" xfId="660" xr:uid="{00000000-0005-0000-0000-000094020000}"/>
    <cellStyle name="Separador de milhares 3 2 2" xfId="661" xr:uid="{00000000-0005-0000-0000-000095020000}"/>
    <cellStyle name="Separador de milhares 3 2 3" xfId="662" xr:uid="{00000000-0005-0000-0000-000096020000}"/>
    <cellStyle name="Separador de milhares 3 2 4" xfId="663" xr:uid="{00000000-0005-0000-0000-000097020000}"/>
    <cellStyle name="Separador de milhares 3 2_AQPNG_ORC_R01_2013_11_22(OBRA COMPLETA) 29112013-2" xfId="664" xr:uid="{00000000-0005-0000-0000-000098020000}"/>
    <cellStyle name="Separador de milhares 3 3" xfId="665" xr:uid="{00000000-0005-0000-0000-000099020000}"/>
    <cellStyle name="Separador de milhares 3 3 2" xfId="666" xr:uid="{00000000-0005-0000-0000-00009A020000}"/>
    <cellStyle name="Separador de milhares 3 3_AQPNG_ORC_R01_2013_11_22(OBRA COMPLETA) 29112013-2" xfId="667" xr:uid="{00000000-0005-0000-0000-00009B020000}"/>
    <cellStyle name="Separador de milhares 3 4" xfId="668" xr:uid="{00000000-0005-0000-0000-00009C020000}"/>
    <cellStyle name="Separador de milhares 3 4 2" xfId="669" xr:uid="{00000000-0005-0000-0000-00009D020000}"/>
    <cellStyle name="Separador de milhares 3 4 2 2" xfId="670" xr:uid="{00000000-0005-0000-0000-00009E020000}"/>
    <cellStyle name="Separador de milhares 3 4 3" xfId="671" xr:uid="{00000000-0005-0000-0000-00009F020000}"/>
    <cellStyle name="Separador de milhares 3 4 3 2" xfId="672" xr:uid="{00000000-0005-0000-0000-0000A0020000}"/>
    <cellStyle name="Separador de milhares 3 5" xfId="673" xr:uid="{00000000-0005-0000-0000-0000A1020000}"/>
    <cellStyle name="Separador de milhares 3 5 2" xfId="674" xr:uid="{00000000-0005-0000-0000-0000A2020000}"/>
    <cellStyle name="Separador de milhares 3 5 2 2" xfId="675" xr:uid="{00000000-0005-0000-0000-0000A3020000}"/>
    <cellStyle name="Separador de milhares 3 5 3" xfId="676" xr:uid="{00000000-0005-0000-0000-0000A4020000}"/>
    <cellStyle name="Separador de milhares 3 5 3 2" xfId="677" xr:uid="{00000000-0005-0000-0000-0000A5020000}"/>
    <cellStyle name="Separador de milhares 3 6" xfId="678" xr:uid="{00000000-0005-0000-0000-0000A6020000}"/>
    <cellStyle name="Separador de milhares 3 6 2" xfId="679" xr:uid="{00000000-0005-0000-0000-0000A7020000}"/>
    <cellStyle name="Separador de milhares 3 6 2 2" xfId="680" xr:uid="{00000000-0005-0000-0000-0000A8020000}"/>
    <cellStyle name="Separador de milhares 3 7" xfId="681" xr:uid="{00000000-0005-0000-0000-0000A9020000}"/>
    <cellStyle name="Separador de milhares 3 7 2" xfId="682" xr:uid="{00000000-0005-0000-0000-0000AA020000}"/>
    <cellStyle name="Separador de milhares 3 7 2 2" xfId="683" xr:uid="{00000000-0005-0000-0000-0000AB020000}"/>
    <cellStyle name="Separador de milhares 3 8" xfId="684" xr:uid="{00000000-0005-0000-0000-0000AC020000}"/>
    <cellStyle name="Separador de milhares 3_AQPNG_ORC_R01_2013_11_22(OBRA COMPLETA) 29112013-2" xfId="685" xr:uid="{00000000-0005-0000-0000-0000AD020000}"/>
    <cellStyle name="Separador de milhares 4" xfId="686" xr:uid="{00000000-0005-0000-0000-0000AE020000}"/>
    <cellStyle name="Separador de milhares 4 2" xfId="687" xr:uid="{00000000-0005-0000-0000-0000AF020000}"/>
    <cellStyle name="Separador de milhares 4 2 2" xfId="688" xr:uid="{00000000-0005-0000-0000-0000B0020000}"/>
    <cellStyle name="Separador de milhares 4 2_AQPNG_ORC_R01_2013_11_22(OBRA COMPLETA) 29112013-2" xfId="689" xr:uid="{00000000-0005-0000-0000-0000B1020000}"/>
    <cellStyle name="Separador de milhares 4 3" xfId="690" xr:uid="{00000000-0005-0000-0000-0000B2020000}"/>
    <cellStyle name="Separador de milhares 4 3 2" xfId="691" xr:uid="{00000000-0005-0000-0000-0000B3020000}"/>
    <cellStyle name="Separador de milhares 4 3_AQPNG_ORC_R01_2013_11_22(OBRA COMPLETA) 29112013-2" xfId="692" xr:uid="{00000000-0005-0000-0000-0000B4020000}"/>
    <cellStyle name="Separador de milhares 4 4" xfId="693" xr:uid="{00000000-0005-0000-0000-0000B5020000}"/>
    <cellStyle name="Separador de milhares 4 4 2" xfId="694" xr:uid="{00000000-0005-0000-0000-0000B6020000}"/>
    <cellStyle name="Separador de milhares 4 4 2 2" xfId="695" xr:uid="{00000000-0005-0000-0000-0000B7020000}"/>
    <cellStyle name="Separador de milhares 4 4 3" xfId="696" xr:uid="{00000000-0005-0000-0000-0000B8020000}"/>
    <cellStyle name="Separador de milhares 4 4 3 2" xfId="697" xr:uid="{00000000-0005-0000-0000-0000B9020000}"/>
    <cellStyle name="Separador de milhares 4 5" xfId="698" xr:uid="{00000000-0005-0000-0000-0000BA020000}"/>
    <cellStyle name="Separador de milhares 4 5 2" xfId="699" xr:uid="{00000000-0005-0000-0000-0000BB020000}"/>
    <cellStyle name="Separador de milhares 4 5 2 2" xfId="700" xr:uid="{00000000-0005-0000-0000-0000BC020000}"/>
    <cellStyle name="Separador de milhares 4 6" xfId="701" xr:uid="{00000000-0005-0000-0000-0000BD020000}"/>
    <cellStyle name="Separador de milhares 4 6 2" xfId="702" xr:uid="{00000000-0005-0000-0000-0000BE020000}"/>
    <cellStyle name="Separador de milhares 4 6 2 2" xfId="703" xr:uid="{00000000-0005-0000-0000-0000BF020000}"/>
    <cellStyle name="Separador de milhares 4 7" xfId="704" xr:uid="{00000000-0005-0000-0000-0000C0020000}"/>
    <cellStyle name="Separador de milhares 4 7 2" xfId="705" xr:uid="{00000000-0005-0000-0000-0000C1020000}"/>
    <cellStyle name="Separador de milhares 4 7 2 2" xfId="706" xr:uid="{00000000-0005-0000-0000-0000C2020000}"/>
    <cellStyle name="Separador de milhares 4 8" xfId="707" xr:uid="{00000000-0005-0000-0000-0000C3020000}"/>
    <cellStyle name="Separador de milhares 4_AQPNG_ORC_R01_2013_11_22(OBRA COMPLETA) 29112013-2" xfId="708" xr:uid="{00000000-0005-0000-0000-0000C4020000}"/>
    <cellStyle name="Separador de milhares 5" xfId="709" xr:uid="{00000000-0005-0000-0000-0000C5020000}"/>
    <cellStyle name="Separador de milhares 5 2" xfId="710" xr:uid="{00000000-0005-0000-0000-0000C6020000}"/>
    <cellStyle name="Separador de milhares 5_AQPNG_ORC_R01_2013_11_22(OBRA COMPLETA) 29112013-2" xfId="711" xr:uid="{00000000-0005-0000-0000-0000C7020000}"/>
    <cellStyle name="Separador de milhares 6" xfId="712" xr:uid="{00000000-0005-0000-0000-0000C8020000}"/>
    <cellStyle name="Separador de milhares 6 2" xfId="713" xr:uid="{00000000-0005-0000-0000-0000C9020000}"/>
    <cellStyle name="Separador de milhares 6_AQPNG_ORC_R01_2013_11_22(OBRA COMPLETA) 29112013-2" xfId="714" xr:uid="{00000000-0005-0000-0000-0000CA020000}"/>
    <cellStyle name="Separador de milhares 7" xfId="715" xr:uid="{00000000-0005-0000-0000-0000CB020000}"/>
    <cellStyle name="Separador de milhares 7 2" xfId="716" xr:uid="{00000000-0005-0000-0000-0000CC020000}"/>
    <cellStyle name="Separador de milhares 7 2 2" xfId="717" xr:uid="{00000000-0005-0000-0000-0000CD020000}"/>
    <cellStyle name="Separador de milhares 7 3" xfId="718" xr:uid="{00000000-0005-0000-0000-0000CE020000}"/>
    <cellStyle name="Separador de milhares 7 4" xfId="719" xr:uid="{00000000-0005-0000-0000-0000CF020000}"/>
    <cellStyle name="Separador de milhares 8" xfId="720" xr:uid="{00000000-0005-0000-0000-0000D0020000}"/>
    <cellStyle name="Separador de milhares 8 2" xfId="721" xr:uid="{00000000-0005-0000-0000-0000D1020000}"/>
    <cellStyle name="Separador de milhares 8 2 2" xfId="722" xr:uid="{00000000-0005-0000-0000-0000D2020000}"/>
    <cellStyle name="Separador de milhares 8 2 2 2" xfId="723" xr:uid="{00000000-0005-0000-0000-0000D3020000}"/>
    <cellStyle name="Separador de milhares 8 2 3" xfId="724" xr:uid="{00000000-0005-0000-0000-0000D4020000}"/>
    <cellStyle name="Separador de milhares 8 3" xfId="725" xr:uid="{00000000-0005-0000-0000-0000D5020000}"/>
    <cellStyle name="Separador de milhares 8 3 2" xfId="726" xr:uid="{00000000-0005-0000-0000-0000D6020000}"/>
    <cellStyle name="Separador de milhares 8 4" xfId="727" xr:uid="{00000000-0005-0000-0000-0000D7020000}"/>
    <cellStyle name="Separador de milhares 8 4 2" xfId="728" xr:uid="{00000000-0005-0000-0000-0000D8020000}"/>
    <cellStyle name="Separador de milhares 8 5" xfId="729" xr:uid="{00000000-0005-0000-0000-0000D9020000}"/>
    <cellStyle name="Separador de milhares 9" xfId="730" xr:uid="{00000000-0005-0000-0000-0000DA020000}"/>
    <cellStyle name="Separador de milhares_ELETRICA_2 2 2" xfId="832" xr:uid="{B03025B7-AC9F-4CB7-969A-7DEA6468E2F0}"/>
    <cellStyle name="Separador de milhares_ELETRICA_2 2_MODELO Planilha Orçamentária obra menor _ SEIL-PRED-SUDE _ JUN 2013-2" xfId="838" xr:uid="{9333C24A-0782-4B81-A7BF-599C0294B76F}"/>
    <cellStyle name="subhead" xfId="731" xr:uid="{00000000-0005-0000-0000-0000DB020000}"/>
    <cellStyle name="Texto de Aviso 2" xfId="732" xr:uid="{00000000-0005-0000-0000-0000DC020000}"/>
    <cellStyle name="Texto de Aviso 2 2" xfId="733" xr:uid="{00000000-0005-0000-0000-0000DD020000}"/>
    <cellStyle name="Texto de Aviso 2_AQPNG_ORC_R01_2013_11_22(OBRA COMPLETA) 29112013-2" xfId="734" xr:uid="{00000000-0005-0000-0000-0000DE020000}"/>
    <cellStyle name="Texto Explicativo 2" xfId="735" xr:uid="{00000000-0005-0000-0000-0000DF020000}"/>
    <cellStyle name="Texto Explicativo 2 2" xfId="736" xr:uid="{00000000-0005-0000-0000-0000E0020000}"/>
    <cellStyle name="Texto Explicativo 2_AQPNG_ORC_R01_2013_11_22(OBRA COMPLETA) 29112013-2" xfId="737" xr:uid="{00000000-0005-0000-0000-0000E1020000}"/>
    <cellStyle name="Texto Explicativo 3" xfId="738" xr:uid="{00000000-0005-0000-0000-0000E2020000}"/>
    <cellStyle name="Título 1 2" xfId="739" xr:uid="{00000000-0005-0000-0000-0000E3020000}"/>
    <cellStyle name="Título 1 3" xfId="740" xr:uid="{00000000-0005-0000-0000-0000E4020000}"/>
    <cellStyle name="Título 2 2" xfId="741" xr:uid="{00000000-0005-0000-0000-0000E5020000}"/>
    <cellStyle name="Título 2 3" xfId="742" xr:uid="{00000000-0005-0000-0000-0000E6020000}"/>
    <cellStyle name="Título 3 2" xfId="743" xr:uid="{00000000-0005-0000-0000-0000E7020000}"/>
    <cellStyle name="Título 3 3" xfId="744" xr:uid="{00000000-0005-0000-0000-0000E8020000}"/>
    <cellStyle name="Título 4 2" xfId="745" xr:uid="{00000000-0005-0000-0000-0000E9020000}"/>
    <cellStyle name="Título 4 3" xfId="746" xr:uid="{00000000-0005-0000-0000-0000EA020000}"/>
    <cellStyle name="Título 5" xfId="747" xr:uid="{00000000-0005-0000-0000-0000EB020000}"/>
    <cellStyle name="Título 5 2" xfId="748" xr:uid="{00000000-0005-0000-0000-0000EC020000}"/>
    <cellStyle name="Título 5 3" xfId="749" xr:uid="{00000000-0005-0000-0000-0000ED020000}"/>
    <cellStyle name="Título 5_AQPNG_ORC_R01_2013_11_22(OBRA COMPLETA) 29112013-2" xfId="750" xr:uid="{00000000-0005-0000-0000-0000EE020000}"/>
    <cellStyle name="Título 6" xfId="751" xr:uid="{00000000-0005-0000-0000-0000EF020000}"/>
    <cellStyle name="Título 7" xfId="752" xr:uid="{00000000-0005-0000-0000-0000F0020000}"/>
    <cellStyle name="Total 2" xfId="753" xr:uid="{00000000-0005-0000-0000-0000F1020000}"/>
    <cellStyle name="Total 2 2" xfId="754" xr:uid="{00000000-0005-0000-0000-0000F2020000}"/>
    <cellStyle name="Total 2 2 2" xfId="755" xr:uid="{00000000-0005-0000-0000-0000F3020000}"/>
    <cellStyle name="Total 2 2_CÁLCULO DE HORAS - tabela MARÇO 2014" xfId="756" xr:uid="{00000000-0005-0000-0000-0000F4020000}"/>
    <cellStyle name="Total 2 3" xfId="757" xr:uid="{00000000-0005-0000-0000-0000F5020000}"/>
    <cellStyle name="Total 2 3 2" xfId="758" xr:uid="{00000000-0005-0000-0000-0000F6020000}"/>
    <cellStyle name="Total 2 3_CÁLCULO DE HORAS - tabela MARÇO 2014" xfId="759" xr:uid="{00000000-0005-0000-0000-0000F7020000}"/>
    <cellStyle name="Total 2 4" xfId="760" xr:uid="{00000000-0005-0000-0000-0000F8020000}"/>
    <cellStyle name="Total 2_AQPNG_ORC_R01_2013_11_22(OBRA COMPLETA) 29112013-2" xfId="761" xr:uid="{00000000-0005-0000-0000-0000F9020000}"/>
    <cellStyle name="Total 3" xfId="762" xr:uid="{00000000-0005-0000-0000-0000FA020000}"/>
    <cellStyle name="Total 3 2" xfId="763" xr:uid="{00000000-0005-0000-0000-0000FB020000}"/>
    <cellStyle name="Total 3_CÁLCULO DE HORAS - tabela MARÇO 2014" xfId="764" xr:uid="{00000000-0005-0000-0000-0000FC020000}"/>
    <cellStyle name="Verificar Célula" xfId="765" xr:uid="{00000000-0005-0000-0000-0000FD020000}"/>
    <cellStyle name="Verificar Célula 2" xfId="766" xr:uid="{00000000-0005-0000-0000-0000FE020000}"/>
    <cellStyle name="Vírgula" xfId="828" builtinId="3"/>
    <cellStyle name="Vírgula 10" xfId="767" xr:uid="{00000000-0005-0000-0000-0000FF020000}"/>
    <cellStyle name="Vírgula 11" xfId="768" xr:uid="{00000000-0005-0000-0000-000000030000}"/>
    <cellStyle name="Vírgula 11 2" xfId="842" xr:uid="{832E5DB1-E78C-49DE-8B46-F332D321F998}"/>
    <cellStyle name="Vírgula 12" xfId="769" xr:uid="{00000000-0005-0000-0000-000001030000}"/>
    <cellStyle name="Vírgula 13" xfId="770" xr:uid="{00000000-0005-0000-0000-000002030000}"/>
    <cellStyle name="Vírgula 14" xfId="837" xr:uid="{D960CFD4-7A3A-4966-B04F-871BD69D5527}"/>
    <cellStyle name="Vírgula 2" xfId="771" xr:uid="{00000000-0005-0000-0000-000003030000}"/>
    <cellStyle name="Vírgula 2 10" xfId="772" xr:uid="{00000000-0005-0000-0000-000004030000}"/>
    <cellStyle name="Vírgula 2 2" xfId="773" xr:uid="{00000000-0005-0000-0000-000005030000}"/>
    <cellStyle name="Vírgula 2 2 2" xfId="774" xr:uid="{00000000-0005-0000-0000-000006030000}"/>
    <cellStyle name="Vírgula 2 2 2 2" xfId="775" xr:uid="{00000000-0005-0000-0000-000007030000}"/>
    <cellStyle name="Vírgula 2 2 2 2 2" xfId="776" xr:uid="{00000000-0005-0000-0000-000008030000}"/>
    <cellStyle name="Vírgula 2 2 3" xfId="777" xr:uid="{00000000-0005-0000-0000-000009030000}"/>
    <cellStyle name="Vírgula 2 2_AQPNG_ORC_R01_2013_11_22(OBRA COMPLETA) 29112013-2" xfId="778" xr:uid="{00000000-0005-0000-0000-00000A030000}"/>
    <cellStyle name="Vírgula 2 3" xfId="779" xr:uid="{00000000-0005-0000-0000-00000B030000}"/>
    <cellStyle name="Vírgula 2 3 2" xfId="780" xr:uid="{00000000-0005-0000-0000-00000C030000}"/>
    <cellStyle name="Vírgula 2 3_CÁLCULO DE HORAS - tabela MARÇO 2014" xfId="781" xr:uid="{00000000-0005-0000-0000-00000D030000}"/>
    <cellStyle name="Vírgula 2 4" xfId="782" xr:uid="{00000000-0005-0000-0000-00000E030000}"/>
    <cellStyle name="Vírgula 2 5" xfId="783" xr:uid="{00000000-0005-0000-0000-00000F030000}"/>
    <cellStyle name="Vírgula 2 6" xfId="784" xr:uid="{00000000-0005-0000-0000-000010030000}"/>
    <cellStyle name="Vírgula 2 7" xfId="785" xr:uid="{00000000-0005-0000-0000-000011030000}"/>
    <cellStyle name="Vírgula 2 8" xfId="786" xr:uid="{00000000-0005-0000-0000-000012030000}"/>
    <cellStyle name="Vírgula 2 9" xfId="787" xr:uid="{00000000-0005-0000-0000-000013030000}"/>
    <cellStyle name="Vírgula 2_AQPNG_ORC_R01_2013_11_22(OBRA COMPLETA) 29112013-2" xfId="788" xr:uid="{00000000-0005-0000-0000-000014030000}"/>
    <cellStyle name="Vírgula 3" xfId="789" xr:uid="{00000000-0005-0000-0000-000015030000}"/>
    <cellStyle name="Vírgula 3 2" xfId="790" xr:uid="{00000000-0005-0000-0000-000016030000}"/>
    <cellStyle name="Vírgula 3_AQPNG_ORC_R01_2013_11_22(OBRA COMPLETA) 29112013-2" xfId="791" xr:uid="{00000000-0005-0000-0000-000017030000}"/>
    <cellStyle name="Vírgula 4" xfId="792" xr:uid="{00000000-0005-0000-0000-000018030000}"/>
    <cellStyle name="Vírgula 4 2" xfId="793" xr:uid="{00000000-0005-0000-0000-000019030000}"/>
    <cellStyle name="Vírgula 4 2 2" xfId="794" xr:uid="{00000000-0005-0000-0000-00001A030000}"/>
    <cellStyle name="Vírgula 4 2 2 2" xfId="795" xr:uid="{00000000-0005-0000-0000-00001B030000}"/>
    <cellStyle name="Vírgula 4 2 3" xfId="796" xr:uid="{00000000-0005-0000-0000-00001C030000}"/>
    <cellStyle name="Vírgula 4 3" xfId="797" xr:uid="{00000000-0005-0000-0000-00001D030000}"/>
    <cellStyle name="Vírgula 4 4" xfId="798" xr:uid="{00000000-0005-0000-0000-00001E030000}"/>
    <cellStyle name="Vírgula 4 4 2" xfId="799" xr:uid="{00000000-0005-0000-0000-00001F030000}"/>
    <cellStyle name="Vírgula 4_AQPNG_ORC_R01_2013_11_22(OBRA COMPLETA) 29112013-2" xfId="800" xr:uid="{00000000-0005-0000-0000-000020030000}"/>
    <cellStyle name="Vírgula 5" xfId="801" xr:uid="{00000000-0005-0000-0000-000021030000}"/>
    <cellStyle name="Vírgula 5 2" xfId="802" xr:uid="{00000000-0005-0000-0000-000022030000}"/>
    <cellStyle name="Vírgula 5_AQPNG_ORC_R01_2013_11_22(OBRA COMPLETA) 29112013-2" xfId="803" xr:uid="{00000000-0005-0000-0000-000023030000}"/>
    <cellStyle name="Vírgula 6" xfId="804" xr:uid="{00000000-0005-0000-0000-000024030000}"/>
    <cellStyle name="Vírgula 6 2" xfId="805" xr:uid="{00000000-0005-0000-0000-000025030000}"/>
    <cellStyle name="Vírgula 6 2 2" xfId="806" xr:uid="{00000000-0005-0000-0000-000026030000}"/>
    <cellStyle name="Vírgula 6 2 2 2" xfId="807" xr:uid="{00000000-0005-0000-0000-000027030000}"/>
    <cellStyle name="Vírgula 6 2 2 2 2" xfId="808" xr:uid="{00000000-0005-0000-0000-000028030000}"/>
    <cellStyle name="Vírgula 6 2 2 3" xfId="809" xr:uid="{00000000-0005-0000-0000-000029030000}"/>
    <cellStyle name="Vírgula 6 2 3" xfId="810" xr:uid="{00000000-0005-0000-0000-00002A030000}"/>
    <cellStyle name="Vírgula 6 2 3 2" xfId="811" xr:uid="{00000000-0005-0000-0000-00002B030000}"/>
    <cellStyle name="Vírgula 6 2 4" xfId="812" xr:uid="{00000000-0005-0000-0000-00002C030000}"/>
    <cellStyle name="Vírgula 6 2 4 2" xfId="813" xr:uid="{00000000-0005-0000-0000-00002D030000}"/>
    <cellStyle name="Vírgula 6 3" xfId="814" xr:uid="{00000000-0005-0000-0000-00002E030000}"/>
    <cellStyle name="Vírgula 6 4" xfId="815" xr:uid="{00000000-0005-0000-0000-00002F030000}"/>
    <cellStyle name="Vírgula 6 4 2" xfId="816" xr:uid="{00000000-0005-0000-0000-000030030000}"/>
    <cellStyle name="Vírgula 6 4 2 2" xfId="817" xr:uid="{00000000-0005-0000-0000-000031030000}"/>
    <cellStyle name="Vírgula 6 4 3" xfId="818" xr:uid="{00000000-0005-0000-0000-000032030000}"/>
    <cellStyle name="Vírgula 6 5" xfId="819" xr:uid="{00000000-0005-0000-0000-000033030000}"/>
    <cellStyle name="Vírgula 6 5 2" xfId="820" xr:uid="{00000000-0005-0000-0000-000034030000}"/>
    <cellStyle name="Vírgula 6 6" xfId="821" xr:uid="{00000000-0005-0000-0000-000035030000}"/>
    <cellStyle name="Vírgula 6 6 2" xfId="822" xr:uid="{00000000-0005-0000-0000-000036030000}"/>
    <cellStyle name="Vírgula 6_CÁLCULO DE HORAS - tabela MARÇO 2014" xfId="823" xr:uid="{00000000-0005-0000-0000-000037030000}"/>
    <cellStyle name="Vírgula 7" xfId="824" xr:uid="{00000000-0005-0000-0000-000038030000}"/>
    <cellStyle name="Vírgula 8" xfId="825" xr:uid="{00000000-0005-0000-0000-000039030000}"/>
    <cellStyle name="Vírgula 9" xfId="826" xr:uid="{00000000-0005-0000-0000-00003A030000}"/>
  </cellStyles>
  <dxfs count="1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4231869</xdr:colOff>
      <xdr:row>5</xdr:row>
      <xdr:rowOff>164873</xdr:rowOff>
    </xdr:from>
    <xdr:to>
      <xdr:col>6</xdr:col>
      <xdr:colOff>733425</xdr:colOff>
      <xdr:row>8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01642E-7BE6-477B-9BAC-E37819546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1969" y="679223"/>
          <a:ext cx="3426231" cy="435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781050</xdr:colOff>
      <xdr:row>3</xdr:row>
      <xdr:rowOff>123825</xdr:rowOff>
    </xdr:from>
    <xdr:to>
      <xdr:col>10</xdr:col>
      <xdr:colOff>781050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5361FF-2442-4101-8D45-1154FA46D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561975"/>
          <a:ext cx="41243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22</xdr:row>
      <xdr:rowOff>57150</xdr:rowOff>
    </xdr:from>
    <xdr:to>
      <xdr:col>7</xdr:col>
      <xdr:colOff>676275</xdr:colOff>
      <xdr:row>25</xdr:row>
      <xdr:rowOff>76200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7B5419E-4F18-4A45-8E36-8FFCEBFE6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4524375"/>
          <a:ext cx="32004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2</xdr:row>
      <xdr:rowOff>142875</xdr:rowOff>
    </xdr:from>
    <xdr:to>
      <xdr:col>7</xdr:col>
      <xdr:colOff>628650</xdr:colOff>
      <xdr:row>6</xdr:row>
      <xdr:rowOff>38100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84BAA50C-EF02-4753-BD05-EE3904DA5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628650"/>
          <a:ext cx="29813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8282</xdr:colOff>
      <xdr:row>1</xdr:row>
      <xdr:rowOff>115154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69D83410-B790-4983-8E1A-73B3DEC19328}"/>
            </a:ext>
          </a:extLst>
        </xdr:cNvPr>
        <xdr:cNvSpPr txBox="1"/>
      </xdr:nvSpPr>
      <xdr:spPr>
        <a:xfrm>
          <a:off x="0" y="0"/>
          <a:ext cx="9076082" cy="41042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 b="1"/>
            <a:t>COMPOSIÇÃO</a:t>
          </a:r>
          <a:r>
            <a:rPr lang="pt-BR" sz="2400" b="1" baseline="0"/>
            <a:t> DO BDI - INFRAESTRUTURA</a:t>
          </a:r>
          <a:endParaRPr lang="pt-BR" sz="1100"/>
        </a:p>
        <a:p>
          <a:r>
            <a:rPr lang="pt-BR" sz="1100"/>
            <a:t>CABEÇALHO</a:t>
          </a:r>
          <a:r>
            <a:rPr lang="pt-BR" sz="1100" baseline="0"/>
            <a:t> CONTENDO NO MÍNIMO:</a:t>
          </a:r>
        </a:p>
        <a:p>
          <a:r>
            <a:rPr lang="pt-BR" sz="1100" baseline="0"/>
            <a:t>IDENTIFICAÇÃO DA EMPRESA</a:t>
          </a:r>
        </a:p>
        <a:p>
          <a:r>
            <a:rPr lang="pt-BR" sz="1100" baseline="0"/>
            <a:t>IDENTIFICAÇÃO DO OBJETO</a:t>
          </a:r>
        </a:p>
        <a:p>
          <a:r>
            <a:rPr lang="pt-BR" sz="1100" baseline="0"/>
            <a:t>DATA-BASE DO ORÇAMENTO E DATA DA ELABORAÇÃO DA PROPOSTA</a:t>
          </a:r>
        </a:p>
        <a:p>
          <a:r>
            <a:rPr lang="pt-BR" sz="1100" baseline="0"/>
            <a:t>ÍNDICE DE BDI</a:t>
          </a:r>
        </a:p>
        <a:p>
          <a:r>
            <a:rPr lang="pt-BR" sz="1100" baseline="0"/>
            <a:t>RESPONSÁVEL TÉCNICO / CREA</a:t>
          </a:r>
        </a:p>
        <a:p>
          <a:endParaRPr lang="pt-B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21</xdr:row>
      <xdr:rowOff>57150</xdr:rowOff>
    </xdr:from>
    <xdr:to>
      <xdr:col>7</xdr:col>
      <xdr:colOff>676275</xdr:colOff>
      <xdr:row>24</xdr:row>
      <xdr:rowOff>76200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C47C826-BD9F-42DA-9D3C-E842F412E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524375"/>
          <a:ext cx="32004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438150</xdr:colOff>
      <xdr:row>3</xdr:row>
      <xdr:rowOff>19050</xdr:rowOff>
    </xdr:from>
    <xdr:to>
      <xdr:col>7</xdr:col>
      <xdr:colOff>800100</xdr:colOff>
      <xdr:row>6</xdr:row>
      <xdr:rowOff>9525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2126FCE9-1FD9-482F-AEB1-4DFEF3849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695325"/>
          <a:ext cx="29813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8282</xdr:colOff>
      <xdr:row>1</xdr:row>
      <xdr:rowOff>115154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5330A1E-9C05-44A5-9882-597656CCFFDE}"/>
            </a:ext>
          </a:extLst>
        </xdr:cNvPr>
        <xdr:cNvSpPr txBox="1"/>
      </xdr:nvSpPr>
      <xdr:spPr>
        <a:xfrm>
          <a:off x="0" y="0"/>
          <a:ext cx="9114182" cy="41042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 b="1"/>
            <a:t>COMPOSIÇÃO</a:t>
          </a:r>
          <a:r>
            <a:rPr lang="pt-BR" sz="2400" b="1" baseline="0"/>
            <a:t> DO BDI - HABITAÇÃO</a:t>
          </a:r>
          <a:endParaRPr lang="pt-BR" sz="1100"/>
        </a:p>
        <a:p>
          <a:r>
            <a:rPr lang="pt-BR" sz="1100"/>
            <a:t>CABEÇALHO</a:t>
          </a:r>
          <a:r>
            <a:rPr lang="pt-BR" sz="1100" baseline="0"/>
            <a:t> CONTENDO NO MÍNIMO:</a:t>
          </a:r>
        </a:p>
        <a:p>
          <a:r>
            <a:rPr lang="pt-BR" sz="1100" baseline="0"/>
            <a:t>IDENTIFICAÇÃO DA EMPRESA</a:t>
          </a:r>
        </a:p>
        <a:p>
          <a:r>
            <a:rPr lang="pt-BR" sz="1100" baseline="0"/>
            <a:t>IDENTIFICAÇÃO DO OBJETO</a:t>
          </a:r>
        </a:p>
        <a:p>
          <a:r>
            <a:rPr lang="pt-BR" sz="1100" baseline="0"/>
            <a:t>DATA-BASE DO ORÇAMENTO E DATA DA ELABORAÇÃO DA PROPOSTA</a:t>
          </a:r>
        </a:p>
        <a:p>
          <a:r>
            <a:rPr lang="pt-BR" sz="1100" baseline="0"/>
            <a:t>ÍNDICE DE BDI</a:t>
          </a:r>
        </a:p>
        <a:p>
          <a:r>
            <a:rPr lang="pt-BR" sz="1100" baseline="0"/>
            <a:t>RESPONSÁVEL TÉCNICO / CREA</a:t>
          </a:r>
        </a:p>
        <a:p>
          <a:endParaRPr lang="pt-BR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2</xdr:row>
      <xdr:rowOff>47625</xdr:rowOff>
    </xdr:from>
    <xdr:to>
      <xdr:col>7</xdr:col>
      <xdr:colOff>876300</xdr:colOff>
      <xdr:row>3</xdr:row>
      <xdr:rowOff>152400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479BA0BD-B682-400B-8D53-6719AE62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09600"/>
          <a:ext cx="13811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2</xdr:row>
      <xdr:rowOff>0</xdr:rowOff>
    </xdr:from>
    <xdr:to>
      <xdr:col>14</xdr:col>
      <xdr:colOff>495300</xdr:colOff>
      <xdr:row>5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14ACFB-EFD2-43A1-BE57-EB872A33E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352425"/>
          <a:ext cx="41243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200025</xdr:colOff>
      <xdr:row>3</xdr:row>
      <xdr:rowOff>38100</xdr:rowOff>
    </xdr:from>
    <xdr:to>
      <xdr:col>14</xdr:col>
      <xdr:colOff>628650</xdr:colOff>
      <xdr:row>6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BF26B98-C4C1-4C77-B61F-FAE18351A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495300"/>
          <a:ext cx="41243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4</xdr:row>
      <xdr:rowOff>57150</xdr:rowOff>
    </xdr:from>
    <xdr:to>
      <xdr:col>14</xdr:col>
      <xdr:colOff>741892</xdr:colOff>
      <xdr:row>8</xdr:row>
      <xdr:rowOff>47625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B2669DD-77C8-4D9A-B677-178F17648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2725" y="495300"/>
          <a:ext cx="41243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4</xdr:row>
      <xdr:rowOff>121444</xdr:rowOff>
    </xdr:from>
    <xdr:to>
      <xdr:col>9</xdr:col>
      <xdr:colOff>304800</xdr:colOff>
      <xdr:row>7</xdr:row>
      <xdr:rowOff>188119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D261A03-C354-4B30-80D7-E7CECD55C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835819"/>
          <a:ext cx="41148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114300</xdr:rowOff>
    </xdr:from>
    <xdr:to>
      <xdr:col>4</xdr:col>
      <xdr:colOff>361950</xdr:colOff>
      <xdr:row>3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CB460A2-EA23-4B9E-8B97-FDE52965F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114300"/>
          <a:ext cx="41243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114300</xdr:colOff>
      <xdr:row>1</xdr:row>
      <xdr:rowOff>76200</xdr:rowOff>
    </xdr:from>
    <xdr:to>
      <xdr:col>19</xdr:col>
      <xdr:colOff>828675</xdr:colOff>
      <xdr:row>5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CC99462-AF86-4921-955F-D9CC0442D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66700"/>
          <a:ext cx="41243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2</xdr:row>
      <xdr:rowOff>114300</xdr:rowOff>
    </xdr:from>
    <xdr:to>
      <xdr:col>8</xdr:col>
      <xdr:colOff>819150</xdr:colOff>
      <xdr:row>6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7D3EFAD-0DFA-4344-9D61-B47CF7791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600075"/>
          <a:ext cx="4152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</xdr:colOff>
      <xdr:row>0</xdr:row>
      <xdr:rowOff>0</xdr:rowOff>
    </xdr:from>
    <xdr:to>
      <xdr:col>9</xdr:col>
      <xdr:colOff>2409</xdr:colOff>
      <xdr:row>1</xdr:row>
      <xdr:rowOff>115087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F6794480-32F7-45A3-9355-8E715C0079B2}"/>
            </a:ext>
          </a:extLst>
        </xdr:cNvPr>
        <xdr:cNvSpPr txBox="1"/>
      </xdr:nvSpPr>
      <xdr:spPr>
        <a:xfrm>
          <a:off x="2" y="0"/>
          <a:ext cx="14556607" cy="410362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 b="1"/>
            <a:t>COMPOSIÇÕES</a:t>
          </a:r>
          <a:r>
            <a:rPr lang="pt-BR" sz="2400" b="1" baseline="0"/>
            <a:t> DE PREÇOS UNITÁRIOS INFRAESTRUTURA</a:t>
          </a:r>
          <a:endParaRPr lang="pt-BR" sz="1100"/>
        </a:p>
        <a:p>
          <a:r>
            <a:rPr lang="pt-BR" sz="1100"/>
            <a:t>CABEÇALHO</a:t>
          </a:r>
          <a:r>
            <a:rPr lang="pt-BR" sz="1100" baseline="0"/>
            <a:t> CONTENDO NO MÍNIMO:</a:t>
          </a:r>
        </a:p>
        <a:p>
          <a:r>
            <a:rPr lang="pt-BR" sz="1100" baseline="0"/>
            <a:t>IDENTIFICAÇÃO DA EMPRESA</a:t>
          </a:r>
        </a:p>
        <a:p>
          <a:r>
            <a:rPr lang="pt-BR" sz="1100" baseline="0"/>
            <a:t>IDENTIFICAÇÃO DO OBJETO</a:t>
          </a:r>
        </a:p>
        <a:p>
          <a:r>
            <a:rPr lang="pt-BR" sz="1100" baseline="0"/>
            <a:t>DATA-BASE DO ORÇAMENTO E DATA DA ELABORAÇÃO DA PROPOSTA</a:t>
          </a:r>
        </a:p>
        <a:p>
          <a:r>
            <a:rPr lang="pt-BR" sz="1100" baseline="0"/>
            <a:t>ÍNDICE DE BDI</a:t>
          </a:r>
        </a:p>
        <a:p>
          <a:r>
            <a:rPr lang="pt-BR" sz="1100" baseline="0"/>
            <a:t>RESPONSÁVEL TÉCNICO / CREA</a:t>
          </a:r>
        </a:p>
        <a:p>
          <a:endParaRPr lang="pt-B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2</xdr:row>
      <xdr:rowOff>114300</xdr:rowOff>
    </xdr:from>
    <xdr:to>
      <xdr:col>8</xdr:col>
      <xdr:colOff>819150</xdr:colOff>
      <xdr:row>6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4215BCB-7375-4D5D-812B-2FEE2CAED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600075"/>
          <a:ext cx="4152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</xdr:colOff>
      <xdr:row>0</xdr:row>
      <xdr:rowOff>0</xdr:rowOff>
    </xdr:from>
    <xdr:to>
      <xdr:col>9</xdr:col>
      <xdr:colOff>2409</xdr:colOff>
      <xdr:row>1</xdr:row>
      <xdr:rowOff>115087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861D7A9-FA2E-436F-892E-93013ECBC9D6}"/>
            </a:ext>
          </a:extLst>
        </xdr:cNvPr>
        <xdr:cNvSpPr txBox="1"/>
      </xdr:nvSpPr>
      <xdr:spPr>
        <a:xfrm>
          <a:off x="2" y="0"/>
          <a:ext cx="14556607" cy="410362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 b="1"/>
            <a:t>COMPOSIÇÕES</a:t>
          </a:r>
          <a:r>
            <a:rPr lang="pt-BR" sz="2400" b="1" baseline="0"/>
            <a:t> DE PREÇOS UNITÁRIOS</a:t>
          </a:r>
          <a:endParaRPr lang="pt-BR" sz="1100"/>
        </a:p>
        <a:p>
          <a:r>
            <a:rPr lang="pt-BR" sz="1100"/>
            <a:t>CABEÇALHO</a:t>
          </a:r>
          <a:r>
            <a:rPr lang="pt-BR" sz="1100" baseline="0"/>
            <a:t> CONTENDO NO MÍNIMO:</a:t>
          </a:r>
        </a:p>
        <a:p>
          <a:r>
            <a:rPr lang="pt-BR" sz="1100" baseline="0"/>
            <a:t>IDENTIFICAÇÃO DA EMPRESA</a:t>
          </a:r>
        </a:p>
        <a:p>
          <a:r>
            <a:rPr lang="pt-BR" sz="1100" baseline="0"/>
            <a:t>IDENTIFICAÇÃO DO OBJETO</a:t>
          </a:r>
        </a:p>
        <a:p>
          <a:r>
            <a:rPr lang="pt-BR" sz="1100" baseline="0"/>
            <a:t>DATA-BASE DO ORÇAMENTO E DATA DA ELABORAÇÃO DA PROPOSTA</a:t>
          </a:r>
        </a:p>
        <a:p>
          <a:r>
            <a:rPr lang="pt-BR" sz="1100" baseline="0"/>
            <a:t>ÍNDICE DE BDI</a:t>
          </a:r>
        </a:p>
        <a:p>
          <a:r>
            <a:rPr lang="pt-BR" sz="1100" baseline="0"/>
            <a:t>RESPONSÁVEL TÉCNICO / CREA</a:t>
          </a:r>
        </a:p>
        <a:p>
          <a:endParaRPr lang="pt-B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-T\Users\dg-dpp-gco-publico\Arquivos%20para%20o%20site\Folha%20de%20Fechamen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-t\Users\VICKIA~1\AppData\Local\Temp\Folha%20de%20Fechamen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%20DVMP_2011\CAIXA%20FORMUL&#193;RIOS%20E%20%20TREINAMENTO\TREINAMENTO%20COHAPAR%20FRE\FORMUL&#193;RIOS\PM1135000v11-FRE-CreditoImobiliar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388736\servidor$\Documents%20and%20Settings\cc72\Meus%20documentos\Downloads\Para&#237;so%20do%20Norte\Para&#237;so%20do%20Norte%20(v2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 FECHAMENTO"/>
    </sheetNames>
    <sheetDataSet>
      <sheetData sheetId="0">
        <row r="9">
          <cell r="O9" t="str">
            <v>CONSTRUÇÃO</v>
          </cell>
        </row>
        <row r="10">
          <cell r="O10" t="str">
            <v>AMPLIAÇÃO</v>
          </cell>
        </row>
        <row r="11">
          <cell r="O11" t="str">
            <v>REPAROS</v>
          </cell>
        </row>
        <row r="12">
          <cell r="O12" t="str">
            <v>MELHORIAS</v>
          </cell>
        </row>
        <row r="13">
          <cell r="O13" t="str">
            <v>REPAROS E MELHORIAS*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 FECHAMENTO"/>
    </sheetNames>
    <sheetDataSet>
      <sheetData sheetId="0">
        <row r="9">
          <cell r="O9" t="str">
            <v>CONSTRUÇÃO</v>
          </cell>
        </row>
        <row r="10">
          <cell r="O10" t="str">
            <v>AMPLIAÇÃO</v>
          </cell>
        </row>
        <row r="11">
          <cell r="O11" t="str">
            <v>REPAROS</v>
          </cell>
        </row>
        <row r="12">
          <cell r="O12" t="str">
            <v>MELHORIAS</v>
          </cell>
        </row>
        <row r="13">
          <cell r="O13" t="str">
            <v>REPAROS E MELHORIAS*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"/>
      <sheetName val="Instruções Preenchimento ANEXOS"/>
      <sheetName val="Plano Negócios"/>
      <sheetName val="Plano de Vendas"/>
      <sheetName val="Historico"/>
    </sheetNames>
    <sheetDataSet>
      <sheetData sheetId="0">
        <row r="262">
          <cell r="AM262" t="str">
            <v xml:space="preserve">DF e RM (Região Metropolitana) de SP e RJ </v>
          </cell>
        </row>
        <row r="263">
          <cell r="AM263" t="str">
            <v>Demais capitais estaduais e municípios com mais de um milhão de habitantes</v>
          </cell>
        </row>
        <row r="264">
          <cell r="AM264" t="str">
            <v>Demais RM, RIDE/DF e municípios com mais de 250 mil habitantes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MEDIÇÃO COMPLETA"/>
      <sheetName val="CRONOGRAMA"/>
      <sheetName val="Relatório"/>
      <sheetName val="Parecer Gerado"/>
      <sheetName val="PARECERES"/>
      <sheetName val="HISTÓRICO DE PARECERES"/>
      <sheetName val="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  <row r="465">
          <cell r="F465" t="str">
            <v xml:space="preserve">                                                                                                                                                                                 2° MEDIÇÃO</v>
          </cell>
        </row>
        <row r="466">
          <cell r="F466" t="str">
            <v xml:space="preserve">                                                                                                                                                                                 3° MEDIÇÃO</v>
          </cell>
        </row>
        <row r="467">
          <cell r="F467" t="str">
            <v xml:space="preserve">                                                                                                                                                                                 4° MEDIÇÃO</v>
          </cell>
        </row>
        <row r="468">
          <cell r="F468" t="str">
            <v xml:space="preserve">                                                                                                                                                                                 5° MEDIÇÃO</v>
          </cell>
        </row>
        <row r="469">
          <cell r="F469" t="str">
            <v xml:space="preserve">                                                                                                                                                                                 6° MEDIÇÃO</v>
          </cell>
        </row>
        <row r="470">
          <cell r="F470" t="str">
            <v xml:space="preserve">                                                                                                                                                                                 7° MEDIÇÃO</v>
          </cell>
        </row>
        <row r="471">
          <cell r="F471" t="str">
            <v xml:space="preserve">                                                                                                                                                                                 8° MEDIÇÃO</v>
          </cell>
        </row>
        <row r="472">
          <cell r="F472" t="str">
            <v xml:space="preserve">                                                                                                                                                                                 9° MEDIÇÃO</v>
          </cell>
        </row>
        <row r="473">
          <cell r="F473" t="str">
            <v xml:space="preserve">                                                                                                                                                                               10° MEDIÇÃO</v>
          </cell>
        </row>
        <row r="474">
          <cell r="F474" t="str">
            <v xml:space="preserve">                                                                                                                                                                               11° MEDIÇÃO</v>
          </cell>
        </row>
        <row r="475">
          <cell r="F475" t="str">
            <v xml:space="preserve">                                                                                                                                                                               12° MEDIÇÃO</v>
          </cell>
        </row>
        <row r="476">
          <cell r="F476" t="str">
            <v xml:space="preserve">                                                                                                                                                                               13° MEDIÇÃO</v>
          </cell>
        </row>
        <row r="477">
          <cell r="F477" t="str">
            <v xml:space="preserve">                                                                                                                                                                              14° MEDIÇÃO</v>
          </cell>
        </row>
        <row r="478">
          <cell r="F478" t="str">
            <v xml:space="preserve">                                                                                                                                                                               15° MEDIÇÃO</v>
          </cell>
        </row>
        <row r="479">
          <cell r="F479" t="str">
            <v xml:space="preserve">                                                                                                                                                                               16° MEDIÇÃO</v>
          </cell>
        </row>
        <row r="480">
          <cell r="F480" t="str">
            <v xml:space="preserve">                                                                                                                                                                               17° MEDIÇÃO</v>
          </cell>
        </row>
        <row r="481">
          <cell r="F481" t="str">
            <v xml:space="preserve">                                                                                                                                                                               18° MEDIÇÃO</v>
          </cell>
        </row>
        <row r="482">
          <cell r="F482" t="str">
            <v xml:space="preserve">                                                                                                                                                                               19° MEDIÇÃO</v>
          </cell>
        </row>
        <row r="483">
          <cell r="F483" t="str">
            <v xml:space="preserve">                                                                                                                                                                               20° MEDIÇÃO</v>
          </cell>
        </row>
        <row r="484">
          <cell r="F484" t="str">
            <v xml:space="preserve">                                                                                                                                                                               21° MEDIÇÃO</v>
          </cell>
        </row>
        <row r="485">
          <cell r="F485" t="str">
            <v xml:space="preserve">                                                                                                                                                                               22° MEDIÇÃO</v>
          </cell>
        </row>
        <row r="486">
          <cell r="F486" t="str">
            <v xml:space="preserve">                                                                                                                                                                               23° MEDIÇÃO</v>
          </cell>
        </row>
        <row r="487">
          <cell r="F487" t="str">
            <v xml:space="preserve">                                                                                                                                                                               24° MEDIÇÃO</v>
          </cell>
        </row>
        <row r="488">
          <cell r="F488" t="str">
            <v xml:space="preserve">                                                                                                                                                                        TODAS AS MEDIÇÕES</v>
          </cell>
        </row>
        <row r="489">
          <cell r="F489" t="str">
            <v xml:space="preserve">                                                                                                                                                                                     TOTAL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00B050"/>
    <pageSetUpPr fitToPage="1"/>
  </sheetPr>
  <dimension ref="A1:V56"/>
  <sheetViews>
    <sheetView view="pageBreakPreview" topLeftCell="A7" zoomScaleNormal="115" zoomScaleSheetLayoutView="100" workbookViewId="0">
      <selection activeCell="K40" sqref="K40"/>
    </sheetView>
  </sheetViews>
  <sheetFormatPr defaultColWidth="10.42578125" defaultRowHeight="15"/>
  <cols>
    <col min="1" max="1" width="4.7109375" style="9" bestFit="1" customWidth="1"/>
    <col min="2" max="2" width="7.28515625" style="9" bestFit="1" customWidth="1"/>
    <col min="3" max="3" width="76.5703125" style="10" customWidth="1"/>
    <col min="4" max="4" width="6.28515625" style="11" bestFit="1" customWidth="1"/>
    <col min="5" max="5" width="8.85546875" style="17" bestFit="1" customWidth="1"/>
    <col min="6" max="6" width="12.140625" style="6" bestFit="1" customWidth="1"/>
    <col min="7" max="7" width="12.28515625" style="6" bestFit="1" customWidth="1"/>
    <col min="8" max="8" width="35.28515625" style="46" customWidth="1"/>
    <col min="9" max="9" width="10.42578125" style="46" customWidth="1"/>
    <col min="10" max="10" width="13.28515625" style="7" bestFit="1" customWidth="1"/>
    <col min="11" max="22" width="10.42578125" style="7" customWidth="1"/>
    <col min="23" max="16384" width="10.42578125" style="8"/>
  </cols>
  <sheetData>
    <row r="1" spans="1:22" s="5" customFormat="1" ht="6.75" customHeight="1">
      <c r="A1" s="9"/>
      <c r="B1" s="9"/>
      <c r="C1" s="10"/>
      <c r="D1" s="11"/>
      <c r="E1" s="96"/>
      <c r="F1" s="96"/>
      <c r="G1" s="96"/>
      <c r="H1" s="96"/>
      <c r="I1" s="96"/>
      <c r="J1" s="96"/>
      <c r="K1" s="6"/>
      <c r="L1" s="6"/>
      <c r="M1" s="386"/>
      <c r="N1" s="6"/>
      <c r="P1" s="364"/>
    </row>
    <row r="2" spans="1:22" s="5" customFormat="1" ht="11.25" customHeight="1">
      <c r="A2" s="550" t="s">
        <v>489</v>
      </c>
      <c r="B2" s="550"/>
      <c r="C2" s="550"/>
      <c r="D2" s="550"/>
      <c r="E2" s="550"/>
      <c r="F2" s="550"/>
      <c r="G2" s="550"/>
      <c r="H2" s="412"/>
      <c r="I2" s="412"/>
      <c r="J2" s="412"/>
      <c r="K2" s="412"/>
      <c r="L2" s="412"/>
      <c r="M2" s="412"/>
      <c r="N2" s="412"/>
      <c r="P2" s="364"/>
    </row>
    <row r="3" spans="1:22" s="5" customFormat="1" ht="5.25" customHeight="1">
      <c r="A3" s="358"/>
      <c r="B3" s="358"/>
      <c r="C3" s="14"/>
      <c r="D3" s="15"/>
      <c r="E3" s="97"/>
      <c r="F3" s="97"/>
      <c r="G3" s="97"/>
      <c r="H3" s="97"/>
      <c r="I3" s="97"/>
      <c r="J3" s="97"/>
      <c r="K3" s="16"/>
      <c r="L3" s="16"/>
      <c r="M3" s="387"/>
      <c r="N3" s="16"/>
      <c r="P3" s="364"/>
    </row>
    <row r="4" spans="1:22" s="5" customFormat="1" ht="11.25" customHeight="1">
      <c r="A4" s="551" t="s">
        <v>803</v>
      </c>
      <c r="B4" s="551"/>
      <c r="C4" s="551"/>
      <c r="D4" s="551"/>
      <c r="E4" s="551"/>
      <c r="F4" s="551"/>
      <c r="G4" s="551"/>
      <c r="H4" s="362"/>
      <c r="I4" s="362"/>
      <c r="J4" s="362"/>
      <c r="K4" s="362"/>
      <c r="L4" s="362"/>
      <c r="M4" s="362"/>
      <c r="N4" s="362"/>
      <c r="P4" s="364"/>
    </row>
    <row r="5" spans="1:22" s="275" customFormat="1" ht="6" customHeight="1">
      <c r="A5" s="267"/>
      <c r="B5" s="268"/>
      <c r="C5" s="269"/>
      <c r="D5" s="270"/>
      <c r="E5" s="271"/>
      <c r="F5" s="272"/>
      <c r="G5" s="273"/>
      <c r="H5" s="272"/>
      <c r="I5" s="272"/>
      <c r="J5" s="272"/>
      <c r="K5" s="272"/>
      <c r="L5" s="272"/>
      <c r="M5" s="388"/>
      <c r="N5" s="274"/>
      <c r="P5" s="365"/>
    </row>
    <row r="6" spans="1:22" s="275" customFormat="1">
      <c r="A6" s="409" t="s">
        <v>527</v>
      </c>
      <c r="B6" s="268"/>
      <c r="C6" s="269"/>
      <c r="D6" s="270"/>
      <c r="E6" s="271"/>
      <c r="F6" s="272"/>
      <c r="G6" s="273"/>
      <c r="H6" s="272"/>
      <c r="I6" s="272"/>
      <c r="J6" s="272"/>
      <c r="K6" s="272"/>
      <c r="L6" s="272"/>
      <c r="M6" s="388"/>
      <c r="N6" s="274"/>
      <c r="P6" s="365"/>
    </row>
    <row r="7" spans="1:22" s="275" customFormat="1">
      <c r="A7" s="409" t="s">
        <v>532</v>
      </c>
      <c r="B7" s="268"/>
      <c r="C7" s="269"/>
      <c r="D7" s="270"/>
      <c r="E7" s="271"/>
      <c r="F7" s="272"/>
      <c r="G7" s="273"/>
      <c r="H7" s="272"/>
      <c r="I7" s="272"/>
      <c r="J7" s="272"/>
      <c r="K7" s="272"/>
      <c r="L7" s="272"/>
      <c r="M7" s="388"/>
      <c r="N7" s="274"/>
      <c r="P7" s="365"/>
    </row>
    <row r="8" spans="1:22" s="275" customFormat="1">
      <c r="A8" s="409" t="s">
        <v>530</v>
      </c>
      <c r="B8" s="268"/>
      <c r="C8" s="269"/>
      <c r="D8" s="270"/>
      <c r="E8" s="271"/>
      <c r="F8" s="272"/>
      <c r="G8" s="273"/>
      <c r="H8" s="272"/>
      <c r="I8" s="272"/>
      <c r="J8" s="272"/>
      <c r="K8" s="272"/>
      <c r="L8" s="272"/>
      <c r="M8" s="388"/>
      <c r="N8" s="274"/>
      <c r="P8" s="365"/>
    </row>
    <row r="9" spans="1:22" s="275" customFormat="1">
      <c r="A9" s="409" t="s">
        <v>531</v>
      </c>
      <c r="B9" s="268"/>
      <c r="C9" s="269"/>
      <c r="D9" s="270"/>
      <c r="E9" s="271"/>
      <c r="F9" s="272"/>
      <c r="G9" s="273"/>
      <c r="H9" s="272"/>
      <c r="I9" s="272"/>
      <c r="J9" s="272"/>
      <c r="K9" s="272"/>
      <c r="L9" s="272"/>
      <c r="M9" s="388"/>
      <c r="N9" s="274"/>
      <c r="P9" s="365"/>
    </row>
    <row r="10" spans="1:22" s="5" customFormat="1" ht="25.5">
      <c r="A10" s="2" t="s">
        <v>0</v>
      </c>
      <c r="B10" s="2" t="s">
        <v>42</v>
      </c>
      <c r="C10" s="3" t="s">
        <v>43</v>
      </c>
      <c r="D10" s="3" t="s">
        <v>44</v>
      </c>
      <c r="E10" s="4" t="s">
        <v>176</v>
      </c>
      <c r="F10" s="4" t="s">
        <v>46</v>
      </c>
      <c r="G10" s="4" t="s">
        <v>45</v>
      </c>
      <c r="H10" s="40"/>
      <c r="I10" s="4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2" s="63" customFormat="1" ht="12.75">
      <c r="A11" s="64"/>
      <c r="B11" s="64"/>
      <c r="C11" s="65"/>
      <c r="D11" s="65"/>
      <c r="E11" s="66"/>
      <c r="F11" s="66"/>
      <c r="G11" s="66"/>
      <c r="H11" s="62"/>
      <c r="I11" s="62"/>
    </row>
    <row r="12" spans="1:22" s="19" customFormat="1" ht="12.75">
      <c r="A12" s="380">
        <v>1</v>
      </c>
      <c r="B12" s="380"/>
      <c r="C12" s="381" t="s">
        <v>54</v>
      </c>
      <c r="D12" s="382" t="s">
        <v>41</v>
      </c>
      <c r="E12" s="384"/>
      <c r="F12" s="384" t="s">
        <v>41</v>
      </c>
      <c r="G12" s="384"/>
      <c r="H12" s="401"/>
      <c r="I12" s="3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s="19" customFormat="1" ht="12.75">
      <c r="A13" s="67" t="s">
        <v>51</v>
      </c>
      <c r="B13" s="67"/>
      <c r="C13" s="68" t="s">
        <v>58</v>
      </c>
      <c r="D13" s="69"/>
      <c r="E13" s="70"/>
      <c r="F13" s="70"/>
      <c r="G13" s="74">
        <f>SUM(G14:G17)</f>
        <v>209037.49144200009</v>
      </c>
      <c r="H13" s="401"/>
      <c r="I13" s="3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s="19" customFormat="1" ht="12.75">
      <c r="A14" s="24"/>
      <c r="B14" s="24" t="s">
        <v>64</v>
      </c>
      <c r="C14" s="25" t="s">
        <v>59</v>
      </c>
      <c r="D14" s="26" t="s">
        <v>60</v>
      </c>
      <c r="E14" s="27">
        <v>7</v>
      </c>
      <c r="F14" s="47">
        <v>13903.378777428587</v>
      </c>
      <c r="G14" s="27">
        <f>F14*E14</f>
        <v>97323.651442000104</v>
      </c>
      <c r="H14" s="401"/>
      <c r="I14" s="3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s="19" customFormat="1" ht="12.75">
      <c r="A15" s="24"/>
      <c r="B15" s="24" t="s">
        <v>65</v>
      </c>
      <c r="C15" s="25" t="s">
        <v>61</v>
      </c>
      <c r="D15" s="26" t="s">
        <v>60</v>
      </c>
      <c r="E15" s="27">
        <v>7</v>
      </c>
      <c r="F15" s="47">
        <v>7968.8228571428572</v>
      </c>
      <c r="G15" s="27">
        <f>F15*E15</f>
        <v>55781.760000000002</v>
      </c>
      <c r="H15" s="401"/>
      <c r="I15" s="3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s="19" customFormat="1" ht="12.75">
      <c r="A16" s="24"/>
      <c r="B16" s="24" t="s">
        <v>66</v>
      </c>
      <c r="C16" s="25" t="s">
        <v>62</v>
      </c>
      <c r="D16" s="26" t="s">
        <v>60</v>
      </c>
      <c r="E16" s="27">
        <v>7</v>
      </c>
      <c r="F16" s="47">
        <v>3441.7257142857143</v>
      </c>
      <c r="G16" s="27">
        <f t="shared" ref="G16:G17" si="0">F16*E16</f>
        <v>24092.080000000002</v>
      </c>
      <c r="H16" s="401"/>
      <c r="I16" s="3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s="19" customFormat="1" ht="12.75">
      <c r="A17" s="24"/>
      <c r="B17" s="24" t="s">
        <v>67</v>
      </c>
      <c r="C17" s="25" t="s">
        <v>63</v>
      </c>
      <c r="D17" s="26" t="s">
        <v>60</v>
      </c>
      <c r="E17" s="27">
        <v>7</v>
      </c>
      <c r="F17" s="47">
        <v>4548.5714285714284</v>
      </c>
      <c r="G17" s="27">
        <f t="shared" si="0"/>
        <v>31840</v>
      </c>
      <c r="H17" s="401"/>
      <c r="I17" s="3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s="19" customFormat="1" ht="12.75">
      <c r="A18" s="20" t="s">
        <v>52</v>
      </c>
      <c r="B18" s="20"/>
      <c r="C18" s="21" t="s">
        <v>359</v>
      </c>
      <c r="D18" s="22"/>
      <c r="E18" s="23"/>
      <c r="F18" s="48"/>
      <c r="G18" s="73">
        <f>SUM(G19:G22)</f>
        <v>12869.281385999999</v>
      </c>
      <c r="H18" s="401"/>
      <c r="I18" s="3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s="19" customFormat="1" ht="25.5">
      <c r="A19" s="24"/>
      <c r="B19" s="24" t="s">
        <v>68</v>
      </c>
      <c r="C19" s="25" t="s">
        <v>677</v>
      </c>
      <c r="D19" s="26" t="s">
        <v>60</v>
      </c>
      <c r="E19" s="27">
        <v>7</v>
      </c>
      <c r="F19" s="47">
        <v>1142.8571428571429</v>
      </c>
      <c r="G19" s="27">
        <f>F19*E19</f>
        <v>8000</v>
      </c>
      <c r="H19" s="401"/>
      <c r="I19" s="3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s="19" customFormat="1" ht="12.75">
      <c r="A20" s="24"/>
      <c r="B20" s="24" t="s">
        <v>71</v>
      </c>
      <c r="C20" s="25" t="s">
        <v>676</v>
      </c>
      <c r="D20" s="26" t="s">
        <v>48</v>
      </c>
      <c r="E20" s="27">
        <v>8</v>
      </c>
      <c r="F20" s="47">
        <v>187.49</v>
      </c>
      <c r="G20" s="27">
        <f t="shared" ref="G20:G21" si="1">F20*E20</f>
        <v>1499.92</v>
      </c>
      <c r="H20" s="401"/>
      <c r="I20" s="3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s="33" customFormat="1" ht="12.75">
      <c r="A21" s="404"/>
      <c r="B21" s="404" t="s">
        <v>72</v>
      </c>
      <c r="C21" s="403" t="s">
        <v>189</v>
      </c>
      <c r="D21" s="405" t="s">
        <v>802</v>
      </c>
      <c r="E21" s="406">
        <v>1</v>
      </c>
      <c r="F21" s="407">
        <v>1264.49</v>
      </c>
      <c r="G21" s="27">
        <f t="shared" si="1"/>
        <v>1264.49</v>
      </c>
      <c r="H21" s="401"/>
      <c r="I21" s="38"/>
      <c r="J21" s="1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8"/>
    </row>
    <row r="22" spans="1:22" s="19" customFormat="1" ht="12.75">
      <c r="A22" s="24"/>
      <c r="B22" s="24" t="s">
        <v>360</v>
      </c>
      <c r="C22" s="25" t="s">
        <v>166</v>
      </c>
      <c r="D22" s="26" t="s">
        <v>802</v>
      </c>
      <c r="E22" s="27">
        <v>1</v>
      </c>
      <c r="F22" s="47">
        <v>2104.8713859999998</v>
      </c>
      <c r="G22" s="27">
        <f>F22*E22</f>
        <v>2104.8713859999998</v>
      </c>
      <c r="H22" s="401"/>
      <c r="I22" s="3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s="19" customFormat="1" ht="12.75">
      <c r="A23" s="20" t="s">
        <v>53</v>
      </c>
      <c r="B23" s="20"/>
      <c r="C23" s="402" t="s">
        <v>448</v>
      </c>
      <c r="D23" s="22"/>
      <c r="E23" s="23"/>
      <c r="F23" s="48"/>
      <c r="G23" s="73">
        <f>SUM(G24:G25)</f>
        <v>96403.427172000011</v>
      </c>
      <c r="H23" s="401"/>
      <c r="I23" s="3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s="19" customFormat="1" ht="12.75">
      <c r="A24" s="24"/>
      <c r="B24" s="24" t="s">
        <v>69</v>
      </c>
      <c r="C24" s="12" t="s">
        <v>674</v>
      </c>
      <c r="D24" s="26" t="s">
        <v>802</v>
      </c>
      <c r="E24" s="27">
        <v>1</v>
      </c>
      <c r="F24" s="47">
        <v>35692.122726000001</v>
      </c>
      <c r="G24" s="27">
        <f>F24*E24</f>
        <v>35692.122726000001</v>
      </c>
      <c r="H24" s="401"/>
      <c r="I24" s="3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s="19" customFormat="1" ht="12.75">
      <c r="A25" s="24"/>
      <c r="B25" s="24" t="s">
        <v>673</v>
      </c>
      <c r="C25" s="12" t="s">
        <v>675</v>
      </c>
      <c r="D25" s="26" t="s">
        <v>802</v>
      </c>
      <c r="E25" s="27">
        <v>1</v>
      </c>
      <c r="F25" s="47">
        <v>60711.304446000009</v>
      </c>
      <c r="G25" s="27">
        <f>F25*E25</f>
        <v>60711.304446000009</v>
      </c>
      <c r="H25" s="401"/>
      <c r="I25" s="3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s="19" customFormat="1" ht="12.75">
      <c r="A26" s="56"/>
      <c r="B26" s="555" t="s">
        <v>47</v>
      </c>
      <c r="C26" s="556"/>
      <c r="D26" s="56"/>
      <c r="E26" s="57"/>
      <c r="F26" s="58"/>
      <c r="G26" s="59">
        <f>SUM(G13:G25)/2</f>
        <v>318310.20000000013</v>
      </c>
      <c r="H26" s="401"/>
      <c r="I26" s="3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s="19" customFormat="1" ht="12.75">
      <c r="A27" s="380">
        <v>2</v>
      </c>
      <c r="B27" s="380"/>
      <c r="C27" s="381" t="s">
        <v>191</v>
      </c>
      <c r="D27" s="382" t="s">
        <v>41</v>
      </c>
      <c r="E27" s="384"/>
      <c r="F27" s="384" t="s">
        <v>41</v>
      </c>
      <c r="G27" s="384"/>
      <c r="H27" s="401"/>
      <c r="I27" s="3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s="19" customFormat="1" ht="12.75">
      <c r="A28" s="24"/>
      <c r="B28" s="24" t="s">
        <v>1</v>
      </c>
      <c r="C28" s="25" t="s">
        <v>488</v>
      </c>
      <c r="D28" s="26" t="s">
        <v>50</v>
      </c>
      <c r="E28" s="27">
        <v>40</v>
      </c>
      <c r="F28" s="47">
        <f>Habitação!M97</f>
        <v>49272.063750000001</v>
      </c>
      <c r="G28" s="27">
        <f>F28*E28</f>
        <v>1970882.55</v>
      </c>
      <c r="H28" s="401"/>
      <c r="I28" s="3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s="19" customFormat="1" ht="12.75">
      <c r="A29" s="60"/>
      <c r="B29" s="555" t="s">
        <v>47</v>
      </c>
      <c r="C29" s="556"/>
      <c r="D29" s="56"/>
      <c r="E29" s="57"/>
      <c r="F29" s="58"/>
      <c r="G29" s="59">
        <f>SUM(G28:G28)</f>
        <v>1970882.55</v>
      </c>
      <c r="H29" s="401"/>
      <c r="I29" s="3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s="19" customFormat="1" ht="12.75">
      <c r="A30" s="380">
        <v>3</v>
      </c>
      <c r="B30" s="380"/>
      <c r="C30" s="381" t="s">
        <v>179</v>
      </c>
      <c r="D30" s="382" t="s">
        <v>41</v>
      </c>
      <c r="E30" s="384"/>
      <c r="F30" s="384" t="s">
        <v>41</v>
      </c>
      <c r="G30" s="384"/>
      <c r="H30" s="401"/>
      <c r="I30" s="3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s="19" customFormat="1" ht="12.75">
      <c r="A31" s="24"/>
      <c r="B31" s="24" t="s">
        <v>3</v>
      </c>
      <c r="C31" s="25" t="s">
        <v>180</v>
      </c>
      <c r="D31" s="26" t="s">
        <v>802</v>
      </c>
      <c r="E31" s="27">
        <v>1</v>
      </c>
      <c r="F31" s="47">
        <f>Infraestrutura!M17</f>
        <v>29132.074237500001</v>
      </c>
      <c r="G31" s="27">
        <f>F31*E31</f>
        <v>29132.074237500001</v>
      </c>
      <c r="H31" s="401"/>
      <c r="I31" s="3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s="19" customFormat="1" ht="12.75">
      <c r="A32" s="24"/>
      <c r="B32" s="24" t="s">
        <v>77</v>
      </c>
      <c r="C32" s="25" t="s">
        <v>396</v>
      </c>
      <c r="D32" s="26" t="s">
        <v>802</v>
      </c>
      <c r="E32" s="27">
        <v>1</v>
      </c>
      <c r="F32" s="47">
        <f>'TABELA DE MEDIÇÃO E FATURAMENTO'!G30</f>
        <v>239455.00361249998</v>
      </c>
      <c r="G32" s="27">
        <f t="shared" ref="G32:G38" si="2">F32*E32</f>
        <v>239455.00361249998</v>
      </c>
      <c r="H32" s="401"/>
      <c r="I32" s="3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s="19" customFormat="1" ht="12.75">
      <c r="A33" s="24"/>
      <c r="B33" s="24" t="s">
        <v>4</v>
      </c>
      <c r="C33" s="25" t="s">
        <v>466</v>
      </c>
      <c r="D33" s="26" t="s">
        <v>802</v>
      </c>
      <c r="E33" s="27">
        <v>1</v>
      </c>
      <c r="F33" s="47">
        <f>'TABELA DE MEDIÇÃO E FATURAMENTO'!G31</f>
        <v>336318.36761249998</v>
      </c>
      <c r="G33" s="27">
        <f t="shared" si="2"/>
        <v>336318.36761249998</v>
      </c>
      <c r="H33" s="401"/>
      <c r="I33" s="3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s="19" customFormat="1" ht="12.75">
      <c r="A34" s="24"/>
      <c r="B34" s="24" t="s">
        <v>172</v>
      </c>
      <c r="C34" s="25" t="s">
        <v>181</v>
      </c>
      <c r="D34" s="26" t="s">
        <v>802</v>
      </c>
      <c r="E34" s="27">
        <v>1</v>
      </c>
      <c r="F34" s="47">
        <f>'TABELA DE MEDIÇÃO E FATURAMENTO'!G32</f>
        <v>168790.67448749999</v>
      </c>
      <c r="G34" s="27">
        <f t="shared" si="2"/>
        <v>168790.67448749999</v>
      </c>
      <c r="H34" s="401"/>
      <c r="I34" s="3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s="19" customFormat="1" ht="12.75">
      <c r="A35" s="24"/>
      <c r="B35" s="24" t="s">
        <v>173</v>
      </c>
      <c r="C35" s="25" t="s">
        <v>469</v>
      </c>
      <c r="D35" s="26" t="s">
        <v>802</v>
      </c>
      <c r="E35" s="27">
        <v>1</v>
      </c>
      <c r="F35" s="47">
        <f>'TABELA DE MEDIÇÃO E FATURAMENTO'!G33</f>
        <v>110860.53761249999</v>
      </c>
      <c r="G35" s="27">
        <f t="shared" si="2"/>
        <v>110860.53761249999</v>
      </c>
      <c r="H35" s="401"/>
      <c r="I35" s="3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s="19" customFormat="1" ht="12.75">
      <c r="A36" s="261"/>
      <c r="B36" s="24" t="s">
        <v>174</v>
      </c>
      <c r="C36" s="262" t="s">
        <v>397</v>
      </c>
      <c r="D36" s="26" t="s">
        <v>802</v>
      </c>
      <c r="E36" s="27">
        <v>1</v>
      </c>
      <c r="F36" s="47">
        <f>'TABELA DE MEDIÇÃO E FATURAMENTO'!G34</f>
        <v>121507.15736249999</v>
      </c>
      <c r="G36" s="27">
        <f t="shared" si="2"/>
        <v>121507.15736249999</v>
      </c>
      <c r="H36" s="401"/>
      <c r="I36" s="3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s="19" customFormat="1" ht="12.75">
      <c r="A37" s="261"/>
      <c r="B37" s="24" t="s">
        <v>175</v>
      </c>
      <c r="C37" s="262" t="s">
        <v>398</v>
      </c>
      <c r="D37" s="26" t="s">
        <v>802</v>
      </c>
      <c r="E37" s="27">
        <v>1</v>
      </c>
      <c r="F37" s="47">
        <f>'TABELA DE MEDIÇÃO E FATURAMENTO'!G35</f>
        <v>23391.249862499997</v>
      </c>
      <c r="G37" s="27">
        <f t="shared" si="2"/>
        <v>23391.249862499997</v>
      </c>
      <c r="H37" s="401"/>
      <c r="I37" s="3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s="19" customFormat="1" ht="12.75">
      <c r="A38" s="261"/>
      <c r="B38" s="24" t="s">
        <v>430</v>
      </c>
      <c r="C38" s="262" t="s">
        <v>473</v>
      </c>
      <c r="D38" s="26" t="s">
        <v>802</v>
      </c>
      <c r="E38" s="27">
        <v>1</v>
      </c>
      <c r="F38" s="47">
        <f>'TABELA DE MEDIÇÃO E FATURAMENTO'!G36</f>
        <v>14331.185212499997</v>
      </c>
      <c r="G38" s="27">
        <f t="shared" si="2"/>
        <v>14331.185212499997</v>
      </c>
      <c r="H38" s="401"/>
      <c r="I38" s="3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s="19" customFormat="1" ht="12.75">
      <c r="A39" s="60"/>
      <c r="B39" s="555" t="s">
        <v>47</v>
      </c>
      <c r="C39" s="556"/>
      <c r="D39" s="56"/>
      <c r="E39" s="57"/>
      <c r="F39" s="57"/>
      <c r="G39" s="59">
        <f>SUM(G31:G38)</f>
        <v>1043786.25</v>
      </c>
      <c r="H39" s="401"/>
      <c r="I39" s="3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s="19" customFormat="1" ht="12.75">
      <c r="A40" s="380">
        <v>4</v>
      </c>
      <c r="B40" s="380"/>
      <c r="C40" s="381" t="s">
        <v>475</v>
      </c>
      <c r="D40" s="382"/>
      <c r="E40" s="384"/>
      <c r="F40" s="384"/>
      <c r="G40" s="384"/>
      <c r="H40" s="401"/>
      <c r="I40" s="3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s="19" customFormat="1" ht="12.75">
      <c r="A41" s="24"/>
      <c r="B41" s="24" t="s">
        <v>5</v>
      </c>
      <c r="C41" s="25" t="s">
        <v>476</v>
      </c>
      <c r="D41" s="26" t="s">
        <v>190</v>
      </c>
      <c r="E41" s="27">
        <v>1</v>
      </c>
      <c r="F41" s="47">
        <f>'Elementos diversos'!M66</f>
        <v>125732.88584999998</v>
      </c>
      <c r="G41" s="27">
        <f>F41*E41</f>
        <v>125732.88584999998</v>
      </c>
      <c r="H41" s="401"/>
      <c r="I41" s="3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s="19" customFormat="1" ht="12.75">
      <c r="A42" s="24"/>
      <c r="B42" s="24" t="s">
        <v>9</v>
      </c>
      <c r="C42" s="25" t="s">
        <v>478</v>
      </c>
      <c r="D42" s="26" t="s">
        <v>190</v>
      </c>
      <c r="E42" s="27">
        <v>1</v>
      </c>
      <c r="F42" s="47">
        <f>'Elementos diversos'!M113</f>
        <v>19607.123250000011</v>
      </c>
      <c r="G42" s="27">
        <f t="shared" ref="G42:G44" si="3">F42*E42</f>
        <v>19607.123250000011</v>
      </c>
      <c r="H42" s="401"/>
      <c r="I42" s="3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s="19" customFormat="1" ht="12.75">
      <c r="A43" s="24"/>
      <c r="B43" s="24" t="s">
        <v>432</v>
      </c>
      <c r="C43" s="25" t="s">
        <v>479</v>
      </c>
      <c r="D43" s="26" t="s">
        <v>190</v>
      </c>
      <c r="E43" s="27">
        <v>1</v>
      </c>
      <c r="F43" s="47">
        <f>'Elementos diversos'!M120</f>
        <v>5263.8943500000014</v>
      </c>
      <c r="G43" s="27">
        <f t="shared" si="3"/>
        <v>5263.8943500000014</v>
      </c>
      <c r="H43" s="401"/>
      <c r="I43" s="3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s="19" customFormat="1" ht="12.75">
      <c r="A44" s="24"/>
      <c r="B44" s="24" t="s">
        <v>433</v>
      </c>
      <c r="C44" s="25" t="s">
        <v>782</v>
      </c>
      <c r="D44" s="26" t="s">
        <v>190</v>
      </c>
      <c r="E44" s="27">
        <v>1</v>
      </c>
      <c r="F44" s="47">
        <f>'Elementos diversos'!M146</f>
        <v>84917.096549999987</v>
      </c>
      <c r="G44" s="27">
        <f t="shared" si="3"/>
        <v>84917.096549999987</v>
      </c>
      <c r="H44" s="401"/>
      <c r="I44" s="3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s="19" customFormat="1" ht="12.75">
      <c r="A45" s="60"/>
      <c r="B45" s="555" t="s">
        <v>47</v>
      </c>
      <c r="C45" s="556"/>
      <c r="D45" s="56"/>
      <c r="E45" s="57"/>
      <c r="F45" s="61"/>
      <c r="G45" s="59">
        <f>SUM(G41:G44)</f>
        <v>235520.99999999997</v>
      </c>
      <c r="H45" s="401"/>
      <c r="I45" s="3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s="19" customFormat="1" ht="12.75">
      <c r="A46" s="552" t="s">
        <v>45</v>
      </c>
      <c r="B46" s="553"/>
      <c r="C46" s="553"/>
      <c r="D46" s="553"/>
      <c r="E46" s="553"/>
      <c r="F46" s="554"/>
      <c r="G46" s="59">
        <f>SUM(G26,G29,G39,G45)</f>
        <v>3568500</v>
      </c>
      <c r="H46" s="401"/>
      <c r="I46" s="3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51" spans="4:6">
      <c r="D51" s="431" t="s">
        <v>178</v>
      </c>
      <c r="E51" s="431"/>
      <c r="F51" s="431"/>
    </row>
    <row r="52" spans="4:6">
      <c r="D52" s="430" t="s">
        <v>790</v>
      </c>
      <c r="E52" s="430"/>
      <c r="F52" s="430"/>
    </row>
    <row r="53" spans="4:6">
      <c r="D53" s="430" t="s">
        <v>791</v>
      </c>
      <c r="E53" s="430"/>
      <c r="F53" s="430"/>
    </row>
    <row r="54" spans="4:6">
      <c r="D54" s="430" t="s">
        <v>177</v>
      </c>
      <c r="E54" s="430"/>
      <c r="F54" s="430"/>
    </row>
    <row r="55" spans="4:6">
      <c r="D55" s="430" t="s">
        <v>792</v>
      </c>
      <c r="E55" s="430"/>
      <c r="F55" s="430"/>
    </row>
    <row r="56" spans="4:6">
      <c r="D56" s="102"/>
      <c r="E56" s="102"/>
      <c r="F56" s="31"/>
    </row>
  </sheetData>
  <mergeCells count="7">
    <mergeCell ref="A2:G2"/>
    <mergeCell ref="A4:G4"/>
    <mergeCell ref="A46:F46"/>
    <mergeCell ref="B45:C45"/>
    <mergeCell ref="B29:C29"/>
    <mergeCell ref="B26:C26"/>
    <mergeCell ref="B39:C39"/>
  </mergeCells>
  <phoneticPr fontId="0" type="noConversion"/>
  <pageMargins left="0.98425196850393704" right="0.39370078740157483" top="0.98425196850393704" bottom="0.78740157480314965" header="0.39370078740157483" footer="0.39370078740157483"/>
  <pageSetup paperSize="9" firstPageNumber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DCB9B-B31E-4B43-BED9-2E6D02A635B9}">
  <sheetPr>
    <tabColor theme="0"/>
    <pageSetUpPr fitToPage="1"/>
  </sheetPr>
  <dimension ref="A1:N50"/>
  <sheetViews>
    <sheetView view="pageBreakPreview" topLeftCell="A28" zoomScale="95" zoomScaleNormal="80" zoomScaleSheetLayoutView="95" workbookViewId="0">
      <selection activeCell="C17" sqref="C17"/>
    </sheetView>
  </sheetViews>
  <sheetFormatPr defaultRowHeight="15"/>
  <cols>
    <col min="1" max="1" width="13.7109375" style="350" bestFit="1" customWidth="1"/>
    <col min="2" max="2" width="18.85546875" style="350" customWidth="1"/>
    <col min="3" max="3" width="78.85546875" style="351" customWidth="1"/>
    <col min="4" max="4" width="20.85546875" style="352" customWidth="1"/>
    <col min="5" max="5" width="14" style="353" customWidth="1"/>
    <col min="6" max="6" width="20.140625" style="354" customWidth="1"/>
    <col min="7" max="8" width="17.28515625" style="355" customWidth="1"/>
    <col min="9" max="9" width="17.28515625" style="356" customWidth="1"/>
    <col min="10" max="10" width="13.42578125" style="311" bestFit="1" customWidth="1"/>
    <col min="11" max="11" width="11" style="311" bestFit="1" customWidth="1"/>
    <col min="12" max="12" width="35.42578125" style="311" customWidth="1"/>
    <col min="13" max="256" width="9.140625" style="311"/>
    <col min="257" max="257" width="13.7109375" style="311" bestFit="1" customWidth="1"/>
    <col min="258" max="258" width="18.85546875" style="311" customWidth="1"/>
    <col min="259" max="259" width="78.85546875" style="311" customWidth="1"/>
    <col min="260" max="260" width="20.85546875" style="311" customWidth="1"/>
    <col min="261" max="261" width="14" style="311" customWidth="1"/>
    <col min="262" max="262" width="20.140625" style="311" customWidth="1"/>
    <col min="263" max="265" width="17.28515625" style="311" customWidth="1"/>
    <col min="266" max="266" width="13.42578125" style="311" bestFit="1" customWidth="1"/>
    <col min="267" max="267" width="11" style="311" bestFit="1" customWidth="1"/>
    <col min="268" max="268" width="35.42578125" style="311" customWidth="1"/>
    <col min="269" max="512" width="9.140625" style="311"/>
    <col min="513" max="513" width="13.7109375" style="311" bestFit="1" customWidth="1"/>
    <col min="514" max="514" width="18.85546875" style="311" customWidth="1"/>
    <col min="515" max="515" width="78.85546875" style="311" customWidth="1"/>
    <col min="516" max="516" width="20.85546875" style="311" customWidth="1"/>
    <col min="517" max="517" width="14" style="311" customWidth="1"/>
    <col min="518" max="518" width="20.140625" style="311" customWidth="1"/>
    <col min="519" max="521" width="17.28515625" style="311" customWidth="1"/>
    <col min="522" max="522" width="13.42578125" style="311" bestFit="1" customWidth="1"/>
    <col min="523" max="523" width="11" style="311" bestFit="1" customWidth="1"/>
    <col min="524" max="524" width="35.42578125" style="311" customWidth="1"/>
    <col min="525" max="768" width="9.140625" style="311"/>
    <col min="769" max="769" width="13.7109375" style="311" bestFit="1" customWidth="1"/>
    <col min="770" max="770" width="18.85546875" style="311" customWidth="1"/>
    <col min="771" max="771" width="78.85546875" style="311" customWidth="1"/>
    <col min="772" max="772" width="20.85546875" style="311" customWidth="1"/>
    <col min="773" max="773" width="14" style="311" customWidth="1"/>
    <col min="774" max="774" width="20.140625" style="311" customWidth="1"/>
    <col min="775" max="777" width="17.28515625" style="311" customWidth="1"/>
    <col min="778" max="778" width="13.42578125" style="311" bestFit="1" customWidth="1"/>
    <col min="779" max="779" width="11" style="311" bestFit="1" customWidth="1"/>
    <col min="780" max="780" width="35.42578125" style="311" customWidth="1"/>
    <col min="781" max="1024" width="9.140625" style="311"/>
    <col min="1025" max="1025" width="13.7109375" style="311" bestFit="1" customWidth="1"/>
    <col min="1026" max="1026" width="18.85546875" style="311" customWidth="1"/>
    <col min="1027" max="1027" width="78.85546875" style="311" customWidth="1"/>
    <col min="1028" max="1028" width="20.85546875" style="311" customWidth="1"/>
    <col min="1029" max="1029" width="14" style="311" customWidth="1"/>
    <col min="1030" max="1030" width="20.140625" style="311" customWidth="1"/>
    <col min="1031" max="1033" width="17.28515625" style="311" customWidth="1"/>
    <col min="1034" max="1034" width="13.42578125" style="311" bestFit="1" customWidth="1"/>
    <col min="1035" max="1035" width="11" style="311" bestFit="1" customWidth="1"/>
    <col min="1036" max="1036" width="35.42578125" style="311" customWidth="1"/>
    <col min="1037" max="1280" width="9.140625" style="311"/>
    <col min="1281" max="1281" width="13.7109375" style="311" bestFit="1" customWidth="1"/>
    <col min="1282" max="1282" width="18.85546875" style="311" customWidth="1"/>
    <col min="1283" max="1283" width="78.85546875" style="311" customWidth="1"/>
    <col min="1284" max="1284" width="20.85546875" style="311" customWidth="1"/>
    <col min="1285" max="1285" width="14" style="311" customWidth="1"/>
    <col min="1286" max="1286" width="20.140625" style="311" customWidth="1"/>
    <col min="1287" max="1289" width="17.28515625" style="311" customWidth="1"/>
    <col min="1290" max="1290" width="13.42578125" style="311" bestFit="1" customWidth="1"/>
    <col min="1291" max="1291" width="11" style="311" bestFit="1" customWidth="1"/>
    <col min="1292" max="1292" width="35.42578125" style="311" customWidth="1"/>
    <col min="1293" max="1536" width="9.140625" style="311"/>
    <col min="1537" max="1537" width="13.7109375" style="311" bestFit="1" customWidth="1"/>
    <col min="1538" max="1538" width="18.85546875" style="311" customWidth="1"/>
    <col min="1539" max="1539" width="78.85546875" style="311" customWidth="1"/>
    <col min="1540" max="1540" width="20.85546875" style="311" customWidth="1"/>
    <col min="1541" max="1541" width="14" style="311" customWidth="1"/>
    <col min="1542" max="1542" width="20.140625" style="311" customWidth="1"/>
    <col min="1543" max="1545" width="17.28515625" style="311" customWidth="1"/>
    <col min="1546" max="1546" width="13.42578125" style="311" bestFit="1" customWidth="1"/>
    <col min="1547" max="1547" width="11" style="311" bestFit="1" customWidth="1"/>
    <col min="1548" max="1548" width="35.42578125" style="311" customWidth="1"/>
    <col min="1549" max="1792" width="9.140625" style="311"/>
    <col min="1793" max="1793" width="13.7109375" style="311" bestFit="1" customWidth="1"/>
    <col min="1794" max="1794" width="18.85546875" style="311" customWidth="1"/>
    <col min="1795" max="1795" width="78.85546875" style="311" customWidth="1"/>
    <col min="1796" max="1796" width="20.85546875" style="311" customWidth="1"/>
    <col min="1797" max="1797" width="14" style="311" customWidth="1"/>
    <col min="1798" max="1798" width="20.140625" style="311" customWidth="1"/>
    <col min="1799" max="1801" width="17.28515625" style="311" customWidth="1"/>
    <col min="1802" max="1802" width="13.42578125" style="311" bestFit="1" customWidth="1"/>
    <col min="1803" max="1803" width="11" style="311" bestFit="1" customWidth="1"/>
    <col min="1804" max="1804" width="35.42578125" style="311" customWidth="1"/>
    <col min="1805" max="2048" width="9.140625" style="311"/>
    <col min="2049" max="2049" width="13.7109375" style="311" bestFit="1" customWidth="1"/>
    <col min="2050" max="2050" width="18.85546875" style="311" customWidth="1"/>
    <col min="2051" max="2051" width="78.85546875" style="311" customWidth="1"/>
    <col min="2052" max="2052" width="20.85546875" style="311" customWidth="1"/>
    <col min="2053" max="2053" width="14" style="311" customWidth="1"/>
    <col min="2054" max="2054" width="20.140625" style="311" customWidth="1"/>
    <col min="2055" max="2057" width="17.28515625" style="311" customWidth="1"/>
    <col min="2058" max="2058" width="13.42578125" style="311" bestFit="1" customWidth="1"/>
    <col min="2059" max="2059" width="11" style="311" bestFit="1" customWidth="1"/>
    <col min="2060" max="2060" width="35.42578125" style="311" customWidth="1"/>
    <col min="2061" max="2304" width="9.140625" style="311"/>
    <col min="2305" max="2305" width="13.7109375" style="311" bestFit="1" customWidth="1"/>
    <col min="2306" max="2306" width="18.85546875" style="311" customWidth="1"/>
    <col min="2307" max="2307" width="78.85546875" style="311" customWidth="1"/>
    <col min="2308" max="2308" width="20.85546875" style="311" customWidth="1"/>
    <col min="2309" max="2309" width="14" style="311" customWidth="1"/>
    <col min="2310" max="2310" width="20.140625" style="311" customWidth="1"/>
    <col min="2311" max="2313" width="17.28515625" style="311" customWidth="1"/>
    <col min="2314" max="2314" width="13.42578125" style="311" bestFit="1" customWidth="1"/>
    <col min="2315" max="2315" width="11" style="311" bestFit="1" customWidth="1"/>
    <col min="2316" max="2316" width="35.42578125" style="311" customWidth="1"/>
    <col min="2317" max="2560" width="9.140625" style="311"/>
    <col min="2561" max="2561" width="13.7109375" style="311" bestFit="1" customWidth="1"/>
    <col min="2562" max="2562" width="18.85546875" style="311" customWidth="1"/>
    <col min="2563" max="2563" width="78.85546875" style="311" customWidth="1"/>
    <col min="2564" max="2564" width="20.85546875" style="311" customWidth="1"/>
    <col min="2565" max="2565" width="14" style="311" customWidth="1"/>
    <col min="2566" max="2566" width="20.140625" style="311" customWidth="1"/>
    <col min="2567" max="2569" width="17.28515625" style="311" customWidth="1"/>
    <col min="2570" max="2570" width="13.42578125" style="311" bestFit="1" customWidth="1"/>
    <col min="2571" max="2571" width="11" style="311" bestFit="1" customWidth="1"/>
    <col min="2572" max="2572" width="35.42578125" style="311" customWidth="1"/>
    <col min="2573" max="2816" width="9.140625" style="311"/>
    <col min="2817" max="2817" width="13.7109375" style="311" bestFit="1" customWidth="1"/>
    <col min="2818" max="2818" width="18.85546875" style="311" customWidth="1"/>
    <col min="2819" max="2819" width="78.85546875" style="311" customWidth="1"/>
    <col min="2820" max="2820" width="20.85546875" style="311" customWidth="1"/>
    <col min="2821" max="2821" width="14" style="311" customWidth="1"/>
    <col min="2822" max="2822" width="20.140625" style="311" customWidth="1"/>
    <col min="2823" max="2825" width="17.28515625" style="311" customWidth="1"/>
    <col min="2826" max="2826" width="13.42578125" style="311" bestFit="1" customWidth="1"/>
    <col min="2827" max="2827" width="11" style="311" bestFit="1" customWidth="1"/>
    <col min="2828" max="2828" width="35.42578125" style="311" customWidth="1"/>
    <col min="2829" max="3072" width="9.140625" style="311"/>
    <col min="3073" max="3073" width="13.7109375" style="311" bestFit="1" customWidth="1"/>
    <col min="3074" max="3074" width="18.85546875" style="311" customWidth="1"/>
    <col min="3075" max="3075" width="78.85546875" style="311" customWidth="1"/>
    <col min="3076" max="3076" width="20.85546875" style="311" customWidth="1"/>
    <col min="3077" max="3077" width="14" style="311" customWidth="1"/>
    <col min="3078" max="3078" width="20.140625" style="311" customWidth="1"/>
    <col min="3079" max="3081" width="17.28515625" style="311" customWidth="1"/>
    <col min="3082" max="3082" width="13.42578125" style="311" bestFit="1" customWidth="1"/>
    <col min="3083" max="3083" width="11" style="311" bestFit="1" customWidth="1"/>
    <col min="3084" max="3084" width="35.42578125" style="311" customWidth="1"/>
    <col min="3085" max="3328" width="9.140625" style="311"/>
    <col min="3329" max="3329" width="13.7109375" style="311" bestFit="1" customWidth="1"/>
    <col min="3330" max="3330" width="18.85546875" style="311" customWidth="1"/>
    <col min="3331" max="3331" width="78.85546875" style="311" customWidth="1"/>
    <col min="3332" max="3332" width="20.85546875" style="311" customWidth="1"/>
    <col min="3333" max="3333" width="14" style="311" customWidth="1"/>
    <col min="3334" max="3334" width="20.140625" style="311" customWidth="1"/>
    <col min="3335" max="3337" width="17.28515625" style="311" customWidth="1"/>
    <col min="3338" max="3338" width="13.42578125" style="311" bestFit="1" customWidth="1"/>
    <col min="3339" max="3339" width="11" style="311" bestFit="1" customWidth="1"/>
    <col min="3340" max="3340" width="35.42578125" style="311" customWidth="1"/>
    <col min="3341" max="3584" width="9.140625" style="311"/>
    <col min="3585" max="3585" width="13.7109375" style="311" bestFit="1" customWidth="1"/>
    <col min="3586" max="3586" width="18.85546875" style="311" customWidth="1"/>
    <col min="3587" max="3587" width="78.85546875" style="311" customWidth="1"/>
    <col min="3588" max="3588" width="20.85546875" style="311" customWidth="1"/>
    <col min="3589" max="3589" width="14" style="311" customWidth="1"/>
    <col min="3590" max="3590" width="20.140625" style="311" customWidth="1"/>
    <col min="3591" max="3593" width="17.28515625" style="311" customWidth="1"/>
    <col min="3594" max="3594" width="13.42578125" style="311" bestFit="1" customWidth="1"/>
    <col min="3595" max="3595" width="11" style="311" bestFit="1" customWidth="1"/>
    <col min="3596" max="3596" width="35.42578125" style="311" customWidth="1"/>
    <col min="3597" max="3840" width="9.140625" style="311"/>
    <col min="3841" max="3841" width="13.7109375" style="311" bestFit="1" customWidth="1"/>
    <col min="3842" max="3842" width="18.85546875" style="311" customWidth="1"/>
    <col min="3843" max="3843" width="78.85546875" style="311" customWidth="1"/>
    <col min="3844" max="3844" width="20.85546875" style="311" customWidth="1"/>
    <col min="3845" max="3845" width="14" style="311" customWidth="1"/>
    <col min="3846" max="3846" width="20.140625" style="311" customWidth="1"/>
    <col min="3847" max="3849" width="17.28515625" style="311" customWidth="1"/>
    <col min="3850" max="3850" width="13.42578125" style="311" bestFit="1" customWidth="1"/>
    <col min="3851" max="3851" width="11" style="311" bestFit="1" customWidth="1"/>
    <col min="3852" max="3852" width="35.42578125" style="311" customWidth="1"/>
    <col min="3853" max="4096" width="9.140625" style="311"/>
    <col min="4097" max="4097" width="13.7109375" style="311" bestFit="1" customWidth="1"/>
    <col min="4098" max="4098" width="18.85546875" style="311" customWidth="1"/>
    <col min="4099" max="4099" width="78.85546875" style="311" customWidth="1"/>
    <col min="4100" max="4100" width="20.85546875" style="311" customWidth="1"/>
    <col min="4101" max="4101" width="14" style="311" customWidth="1"/>
    <col min="4102" max="4102" width="20.140625" style="311" customWidth="1"/>
    <col min="4103" max="4105" width="17.28515625" style="311" customWidth="1"/>
    <col min="4106" max="4106" width="13.42578125" style="311" bestFit="1" customWidth="1"/>
    <col min="4107" max="4107" width="11" style="311" bestFit="1" customWidth="1"/>
    <col min="4108" max="4108" width="35.42578125" style="311" customWidth="1"/>
    <col min="4109" max="4352" width="9.140625" style="311"/>
    <col min="4353" max="4353" width="13.7109375" style="311" bestFit="1" customWidth="1"/>
    <col min="4354" max="4354" width="18.85546875" style="311" customWidth="1"/>
    <col min="4355" max="4355" width="78.85546875" style="311" customWidth="1"/>
    <col min="4356" max="4356" width="20.85546875" style="311" customWidth="1"/>
    <col min="4357" max="4357" width="14" style="311" customWidth="1"/>
    <col min="4358" max="4358" width="20.140625" style="311" customWidth="1"/>
    <col min="4359" max="4361" width="17.28515625" style="311" customWidth="1"/>
    <col min="4362" max="4362" width="13.42578125" style="311" bestFit="1" customWidth="1"/>
    <col min="4363" max="4363" width="11" style="311" bestFit="1" customWidth="1"/>
    <col min="4364" max="4364" width="35.42578125" style="311" customWidth="1"/>
    <col min="4365" max="4608" width="9.140625" style="311"/>
    <col min="4609" max="4609" width="13.7109375" style="311" bestFit="1" customWidth="1"/>
    <col min="4610" max="4610" width="18.85546875" style="311" customWidth="1"/>
    <col min="4611" max="4611" width="78.85546875" style="311" customWidth="1"/>
    <col min="4612" max="4612" width="20.85546875" style="311" customWidth="1"/>
    <col min="4613" max="4613" width="14" style="311" customWidth="1"/>
    <col min="4614" max="4614" width="20.140625" style="311" customWidth="1"/>
    <col min="4615" max="4617" width="17.28515625" style="311" customWidth="1"/>
    <col min="4618" max="4618" width="13.42578125" style="311" bestFit="1" customWidth="1"/>
    <col min="4619" max="4619" width="11" style="311" bestFit="1" customWidth="1"/>
    <col min="4620" max="4620" width="35.42578125" style="311" customWidth="1"/>
    <col min="4621" max="4864" width="9.140625" style="311"/>
    <col min="4865" max="4865" width="13.7109375" style="311" bestFit="1" customWidth="1"/>
    <col min="4866" max="4866" width="18.85546875" style="311" customWidth="1"/>
    <col min="4867" max="4867" width="78.85546875" style="311" customWidth="1"/>
    <col min="4868" max="4868" width="20.85546875" style="311" customWidth="1"/>
    <col min="4869" max="4869" width="14" style="311" customWidth="1"/>
    <col min="4870" max="4870" width="20.140625" style="311" customWidth="1"/>
    <col min="4871" max="4873" width="17.28515625" style="311" customWidth="1"/>
    <col min="4874" max="4874" width="13.42578125" style="311" bestFit="1" customWidth="1"/>
    <col min="4875" max="4875" width="11" style="311" bestFit="1" customWidth="1"/>
    <col min="4876" max="4876" width="35.42578125" style="311" customWidth="1"/>
    <col min="4877" max="5120" width="9.140625" style="311"/>
    <col min="5121" max="5121" width="13.7109375" style="311" bestFit="1" customWidth="1"/>
    <col min="5122" max="5122" width="18.85546875" style="311" customWidth="1"/>
    <col min="5123" max="5123" width="78.85546875" style="311" customWidth="1"/>
    <col min="5124" max="5124" width="20.85546875" style="311" customWidth="1"/>
    <col min="5125" max="5125" width="14" style="311" customWidth="1"/>
    <col min="5126" max="5126" width="20.140625" style="311" customWidth="1"/>
    <col min="5127" max="5129" width="17.28515625" style="311" customWidth="1"/>
    <col min="5130" max="5130" width="13.42578125" style="311" bestFit="1" customWidth="1"/>
    <col min="5131" max="5131" width="11" style="311" bestFit="1" customWidth="1"/>
    <col min="5132" max="5132" width="35.42578125" style="311" customWidth="1"/>
    <col min="5133" max="5376" width="9.140625" style="311"/>
    <col min="5377" max="5377" width="13.7109375" style="311" bestFit="1" customWidth="1"/>
    <col min="5378" max="5378" width="18.85546875" style="311" customWidth="1"/>
    <col min="5379" max="5379" width="78.85546875" style="311" customWidth="1"/>
    <col min="5380" max="5380" width="20.85546875" style="311" customWidth="1"/>
    <col min="5381" max="5381" width="14" style="311" customWidth="1"/>
    <col min="5382" max="5382" width="20.140625" style="311" customWidth="1"/>
    <col min="5383" max="5385" width="17.28515625" style="311" customWidth="1"/>
    <col min="5386" max="5386" width="13.42578125" style="311" bestFit="1" customWidth="1"/>
    <col min="5387" max="5387" width="11" style="311" bestFit="1" customWidth="1"/>
    <col min="5388" max="5388" width="35.42578125" style="311" customWidth="1"/>
    <col min="5389" max="5632" width="9.140625" style="311"/>
    <col min="5633" max="5633" width="13.7109375" style="311" bestFit="1" customWidth="1"/>
    <col min="5634" max="5634" width="18.85546875" style="311" customWidth="1"/>
    <col min="5635" max="5635" width="78.85546875" style="311" customWidth="1"/>
    <col min="5636" max="5636" width="20.85546875" style="311" customWidth="1"/>
    <col min="5637" max="5637" width="14" style="311" customWidth="1"/>
    <col min="5638" max="5638" width="20.140625" style="311" customWidth="1"/>
    <col min="5639" max="5641" width="17.28515625" style="311" customWidth="1"/>
    <col min="5642" max="5642" width="13.42578125" style="311" bestFit="1" customWidth="1"/>
    <col min="5643" max="5643" width="11" style="311" bestFit="1" customWidth="1"/>
    <col min="5644" max="5644" width="35.42578125" style="311" customWidth="1"/>
    <col min="5645" max="5888" width="9.140625" style="311"/>
    <col min="5889" max="5889" width="13.7109375" style="311" bestFit="1" customWidth="1"/>
    <col min="5890" max="5890" width="18.85546875" style="311" customWidth="1"/>
    <col min="5891" max="5891" width="78.85546875" style="311" customWidth="1"/>
    <col min="5892" max="5892" width="20.85546875" style="311" customWidth="1"/>
    <col min="5893" max="5893" width="14" style="311" customWidth="1"/>
    <col min="5894" max="5894" width="20.140625" style="311" customWidth="1"/>
    <col min="5895" max="5897" width="17.28515625" style="311" customWidth="1"/>
    <col min="5898" max="5898" width="13.42578125" style="311" bestFit="1" customWidth="1"/>
    <col min="5899" max="5899" width="11" style="311" bestFit="1" customWidth="1"/>
    <col min="5900" max="5900" width="35.42578125" style="311" customWidth="1"/>
    <col min="5901" max="6144" width="9.140625" style="311"/>
    <col min="6145" max="6145" width="13.7109375" style="311" bestFit="1" customWidth="1"/>
    <col min="6146" max="6146" width="18.85546875" style="311" customWidth="1"/>
    <col min="6147" max="6147" width="78.85546875" style="311" customWidth="1"/>
    <col min="6148" max="6148" width="20.85546875" style="311" customWidth="1"/>
    <col min="6149" max="6149" width="14" style="311" customWidth="1"/>
    <col min="6150" max="6150" width="20.140625" style="311" customWidth="1"/>
    <col min="6151" max="6153" width="17.28515625" style="311" customWidth="1"/>
    <col min="6154" max="6154" width="13.42578125" style="311" bestFit="1" customWidth="1"/>
    <col min="6155" max="6155" width="11" style="311" bestFit="1" customWidth="1"/>
    <col min="6156" max="6156" width="35.42578125" style="311" customWidth="1"/>
    <col min="6157" max="6400" width="9.140625" style="311"/>
    <col min="6401" max="6401" width="13.7109375" style="311" bestFit="1" customWidth="1"/>
    <col min="6402" max="6402" width="18.85546875" style="311" customWidth="1"/>
    <col min="6403" max="6403" width="78.85546875" style="311" customWidth="1"/>
    <col min="6404" max="6404" width="20.85546875" style="311" customWidth="1"/>
    <col min="6405" max="6405" width="14" style="311" customWidth="1"/>
    <col min="6406" max="6406" width="20.140625" style="311" customWidth="1"/>
    <col min="6407" max="6409" width="17.28515625" style="311" customWidth="1"/>
    <col min="6410" max="6410" width="13.42578125" style="311" bestFit="1" customWidth="1"/>
    <col min="6411" max="6411" width="11" style="311" bestFit="1" customWidth="1"/>
    <col min="6412" max="6412" width="35.42578125" style="311" customWidth="1"/>
    <col min="6413" max="6656" width="9.140625" style="311"/>
    <col min="6657" max="6657" width="13.7109375" style="311" bestFit="1" customWidth="1"/>
    <col min="6658" max="6658" width="18.85546875" style="311" customWidth="1"/>
    <col min="6659" max="6659" width="78.85546875" style="311" customWidth="1"/>
    <col min="6660" max="6660" width="20.85546875" style="311" customWidth="1"/>
    <col min="6661" max="6661" width="14" style="311" customWidth="1"/>
    <col min="6662" max="6662" width="20.140625" style="311" customWidth="1"/>
    <col min="6663" max="6665" width="17.28515625" style="311" customWidth="1"/>
    <col min="6666" max="6666" width="13.42578125" style="311" bestFit="1" customWidth="1"/>
    <col min="6667" max="6667" width="11" style="311" bestFit="1" customWidth="1"/>
    <col min="6668" max="6668" width="35.42578125" style="311" customWidth="1"/>
    <col min="6669" max="6912" width="9.140625" style="311"/>
    <col min="6913" max="6913" width="13.7109375" style="311" bestFit="1" customWidth="1"/>
    <col min="6914" max="6914" width="18.85546875" style="311" customWidth="1"/>
    <col min="6915" max="6915" width="78.85546875" style="311" customWidth="1"/>
    <col min="6916" max="6916" width="20.85546875" style="311" customWidth="1"/>
    <col min="6917" max="6917" width="14" style="311" customWidth="1"/>
    <col min="6918" max="6918" width="20.140625" style="311" customWidth="1"/>
    <col min="6919" max="6921" width="17.28515625" style="311" customWidth="1"/>
    <col min="6922" max="6922" width="13.42578125" style="311" bestFit="1" customWidth="1"/>
    <col min="6923" max="6923" width="11" style="311" bestFit="1" customWidth="1"/>
    <col min="6924" max="6924" width="35.42578125" style="311" customWidth="1"/>
    <col min="6925" max="7168" width="9.140625" style="311"/>
    <col min="7169" max="7169" width="13.7109375" style="311" bestFit="1" customWidth="1"/>
    <col min="7170" max="7170" width="18.85546875" style="311" customWidth="1"/>
    <col min="7171" max="7171" width="78.85546875" style="311" customWidth="1"/>
    <col min="7172" max="7172" width="20.85546875" style="311" customWidth="1"/>
    <col min="7173" max="7173" width="14" style="311" customWidth="1"/>
    <col min="7174" max="7174" width="20.140625" style="311" customWidth="1"/>
    <col min="7175" max="7177" width="17.28515625" style="311" customWidth="1"/>
    <col min="7178" max="7178" width="13.42578125" style="311" bestFit="1" customWidth="1"/>
    <col min="7179" max="7179" width="11" style="311" bestFit="1" customWidth="1"/>
    <col min="7180" max="7180" width="35.42578125" style="311" customWidth="1"/>
    <col min="7181" max="7424" width="9.140625" style="311"/>
    <col min="7425" max="7425" width="13.7109375" style="311" bestFit="1" customWidth="1"/>
    <col min="7426" max="7426" width="18.85546875" style="311" customWidth="1"/>
    <col min="7427" max="7427" width="78.85546875" style="311" customWidth="1"/>
    <col min="7428" max="7428" width="20.85546875" style="311" customWidth="1"/>
    <col min="7429" max="7429" width="14" style="311" customWidth="1"/>
    <col min="7430" max="7430" width="20.140625" style="311" customWidth="1"/>
    <col min="7431" max="7433" width="17.28515625" style="311" customWidth="1"/>
    <col min="7434" max="7434" width="13.42578125" style="311" bestFit="1" customWidth="1"/>
    <col min="7435" max="7435" width="11" style="311" bestFit="1" customWidth="1"/>
    <col min="7436" max="7436" width="35.42578125" style="311" customWidth="1"/>
    <col min="7437" max="7680" width="9.140625" style="311"/>
    <col min="7681" max="7681" width="13.7109375" style="311" bestFit="1" customWidth="1"/>
    <col min="7682" max="7682" width="18.85546875" style="311" customWidth="1"/>
    <col min="7683" max="7683" width="78.85546875" style="311" customWidth="1"/>
    <col min="7684" max="7684" width="20.85546875" style="311" customWidth="1"/>
    <col min="7685" max="7685" width="14" style="311" customWidth="1"/>
    <col min="7686" max="7686" width="20.140625" style="311" customWidth="1"/>
    <col min="7687" max="7689" width="17.28515625" style="311" customWidth="1"/>
    <col min="7690" max="7690" width="13.42578125" style="311" bestFit="1" customWidth="1"/>
    <col min="7691" max="7691" width="11" style="311" bestFit="1" customWidth="1"/>
    <col min="7692" max="7692" width="35.42578125" style="311" customWidth="1"/>
    <col min="7693" max="7936" width="9.140625" style="311"/>
    <col min="7937" max="7937" width="13.7109375" style="311" bestFit="1" customWidth="1"/>
    <col min="7938" max="7938" width="18.85546875" style="311" customWidth="1"/>
    <col min="7939" max="7939" width="78.85546875" style="311" customWidth="1"/>
    <col min="7940" max="7940" width="20.85546875" style="311" customWidth="1"/>
    <col min="7941" max="7941" width="14" style="311" customWidth="1"/>
    <col min="7942" max="7942" width="20.140625" style="311" customWidth="1"/>
    <col min="7943" max="7945" width="17.28515625" style="311" customWidth="1"/>
    <col min="7946" max="7946" width="13.42578125" style="311" bestFit="1" customWidth="1"/>
    <col min="7947" max="7947" width="11" style="311" bestFit="1" customWidth="1"/>
    <col min="7948" max="7948" width="35.42578125" style="311" customWidth="1"/>
    <col min="7949" max="8192" width="9.140625" style="311"/>
    <col min="8193" max="8193" width="13.7109375" style="311" bestFit="1" customWidth="1"/>
    <col min="8194" max="8194" width="18.85546875" style="311" customWidth="1"/>
    <col min="8195" max="8195" width="78.85546875" style="311" customWidth="1"/>
    <col min="8196" max="8196" width="20.85546875" style="311" customWidth="1"/>
    <col min="8197" max="8197" width="14" style="311" customWidth="1"/>
    <col min="8198" max="8198" width="20.140625" style="311" customWidth="1"/>
    <col min="8199" max="8201" width="17.28515625" style="311" customWidth="1"/>
    <col min="8202" max="8202" width="13.42578125" style="311" bestFit="1" customWidth="1"/>
    <col min="8203" max="8203" width="11" style="311" bestFit="1" customWidth="1"/>
    <col min="8204" max="8204" width="35.42578125" style="311" customWidth="1"/>
    <col min="8205" max="8448" width="9.140625" style="311"/>
    <col min="8449" max="8449" width="13.7109375" style="311" bestFit="1" customWidth="1"/>
    <col min="8450" max="8450" width="18.85546875" style="311" customWidth="1"/>
    <col min="8451" max="8451" width="78.85546875" style="311" customWidth="1"/>
    <col min="8452" max="8452" width="20.85546875" style="311" customWidth="1"/>
    <col min="8453" max="8453" width="14" style="311" customWidth="1"/>
    <col min="8454" max="8454" width="20.140625" style="311" customWidth="1"/>
    <col min="8455" max="8457" width="17.28515625" style="311" customWidth="1"/>
    <col min="8458" max="8458" width="13.42578125" style="311" bestFit="1" customWidth="1"/>
    <col min="8459" max="8459" width="11" style="311" bestFit="1" customWidth="1"/>
    <col min="8460" max="8460" width="35.42578125" style="311" customWidth="1"/>
    <col min="8461" max="8704" width="9.140625" style="311"/>
    <col min="8705" max="8705" width="13.7109375" style="311" bestFit="1" customWidth="1"/>
    <col min="8706" max="8706" width="18.85546875" style="311" customWidth="1"/>
    <col min="8707" max="8707" width="78.85546875" style="311" customWidth="1"/>
    <col min="8708" max="8708" width="20.85546875" style="311" customWidth="1"/>
    <col min="8709" max="8709" width="14" style="311" customWidth="1"/>
    <col min="8710" max="8710" width="20.140625" style="311" customWidth="1"/>
    <col min="8711" max="8713" width="17.28515625" style="311" customWidth="1"/>
    <col min="8714" max="8714" width="13.42578125" style="311" bestFit="1" customWidth="1"/>
    <col min="8715" max="8715" width="11" style="311" bestFit="1" customWidth="1"/>
    <col min="8716" max="8716" width="35.42578125" style="311" customWidth="1"/>
    <col min="8717" max="8960" width="9.140625" style="311"/>
    <col min="8961" max="8961" width="13.7109375" style="311" bestFit="1" customWidth="1"/>
    <col min="8962" max="8962" width="18.85546875" style="311" customWidth="1"/>
    <col min="8963" max="8963" width="78.85546875" style="311" customWidth="1"/>
    <col min="8964" max="8964" width="20.85546875" style="311" customWidth="1"/>
    <col min="8965" max="8965" width="14" style="311" customWidth="1"/>
    <col min="8966" max="8966" width="20.140625" style="311" customWidth="1"/>
    <col min="8967" max="8969" width="17.28515625" style="311" customWidth="1"/>
    <col min="8970" max="8970" width="13.42578125" style="311" bestFit="1" customWidth="1"/>
    <col min="8971" max="8971" width="11" style="311" bestFit="1" customWidth="1"/>
    <col min="8972" max="8972" width="35.42578125" style="311" customWidth="1"/>
    <col min="8973" max="9216" width="9.140625" style="311"/>
    <col min="9217" max="9217" width="13.7109375" style="311" bestFit="1" customWidth="1"/>
    <col min="9218" max="9218" width="18.85546875" style="311" customWidth="1"/>
    <col min="9219" max="9219" width="78.85546875" style="311" customWidth="1"/>
    <col min="9220" max="9220" width="20.85546875" style="311" customWidth="1"/>
    <col min="9221" max="9221" width="14" style="311" customWidth="1"/>
    <col min="9222" max="9222" width="20.140625" style="311" customWidth="1"/>
    <col min="9223" max="9225" width="17.28515625" style="311" customWidth="1"/>
    <col min="9226" max="9226" width="13.42578125" style="311" bestFit="1" customWidth="1"/>
    <col min="9227" max="9227" width="11" style="311" bestFit="1" customWidth="1"/>
    <col min="9228" max="9228" width="35.42578125" style="311" customWidth="1"/>
    <col min="9229" max="9472" width="9.140625" style="311"/>
    <col min="9473" max="9473" width="13.7109375" style="311" bestFit="1" customWidth="1"/>
    <col min="9474" max="9474" width="18.85546875" style="311" customWidth="1"/>
    <col min="9475" max="9475" width="78.85546875" style="311" customWidth="1"/>
    <col min="9476" max="9476" width="20.85546875" style="311" customWidth="1"/>
    <col min="9477" max="9477" width="14" style="311" customWidth="1"/>
    <col min="9478" max="9478" width="20.140625" style="311" customWidth="1"/>
    <col min="9479" max="9481" width="17.28515625" style="311" customWidth="1"/>
    <col min="9482" max="9482" width="13.42578125" style="311" bestFit="1" customWidth="1"/>
    <col min="9483" max="9483" width="11" style="311" bestFit="1" customWidth="1"/>
    <col min="9484" max="9484" width="35.42578125" style="311" customWidth="1"/>
    <col min="9485" max="9728" width="9.140625" style="311"/>
    <col min="9729" max="9729" width="13.7109375" style="311" bestFit="1" customWidth="1"/>
    <col min="9730" max="9730" width="18.85546875" style="311" customWidth="1"/>
    <col min="9731" max="9731" width="78.85546875" style="311" customWidth="1"/>
    <col min="9732" max="9732" width="20.85546875" style="311" customWidth="1"/>
    <col min="9733" max="9733" width="14" style="311" customWidth="1"/>
    <col min="9734" max="9734" width="20.140625" style="311" customWidth="1"/>
    <col min="9735" max="9737" width="17.28515625" style="311" customWidth="1"/>
    <col min="9738" max="9738" width="13.42578125" style="311" bestFit="1" customWidth="1"/>
    <col min="9739" max="9739" width="11" style="311" bestFit="1" customWidth="1"/>
    <col min="9740" max="9740" width="35.42578125" style="311" customWidth="1"/>
    <col min="9741" max="9984" width="9.140625" style="311"/>
    <col min="9985" max="9985" width="13.7109375" style="311" bestFit="1" customWidth="1"/>
    <col min="9986" max="9986" width="18.85546875" style="311" customWidth="1"/>
    <col min="9987" max="9987" width="78.85546875" style="311" customWidth="1"/>
    <col min="9988" max="9988" width="20.85546875" style="311" customWidth="1"/>
    <col min="9989" max="9989" width="14" style="311" customWidth="1"/>
    <col min="9990" max="9990" width="20.140625" style="311" customWidth="1"/>
    <col min="9991" max="9993" width="17.28515625" style="311" customWidth="1"/>
    <col min="9994" max="9994" width="13.42578125" style="311" bestFit="1" customWidth="1"/>
    <col min="9995" max="9995" width="11" style="311" bestFit="1" customWidth="1"/>
    <col min="9996" max="9996" width="35.42578125" style="311" customWidth="1"/>
    <col min="9997" max="10240" width="9.140625" style="311"/>
    <col min="10241" max="10241" width="13.7109375" style="311" bestFit="1" customWidth="1"/>
    <col min="10242" max="10242" width="18.85546875" style="311" customWidth="1"/>
    <col min="10243" max="10243" width="78.85546875" style="311" customWidth="1"/>
    <col min="10244" max="10244" width="20.85546875" style="311" customWidth="1"/>
    <col min="10245" max="10245" width="14" style="311" customWidth="1"/>
    <col min="10246" max="10246" width="20.140625" style="311" customWidth="1"/>
    <col min="10247" max="10249" width="17.28515625" style="311" customWidth="1"/>
    <col min="10250" max="10250" width="13.42578125" style="311" bestFit="1" customWidth="1"/>
    <col min="10251" max="10251" width="11" style="311" bestFit="1" customWidth="1"/>
    <col min="10252" max="10252" width="35.42578125" style="311" customWidth="1"/>
    <col min="10253" max="10496" width="9.140625" style="311"/>
    <col min="10497" max="10497" width="13.7109375" style="311" bestFit="1" customWidth="1"/>
    <col min="10498" max="10498" width="18.85546875" style="311" customWidth="1"/>
    <col min="10499" max="10499" width="78.85546875" style="311" customWidth="1"/>
    <col min="10500" max="10500" width="20.85546875" style="311" customWidth="1"/>
    <col min="10501" max="10501" width="14" style="311" customWidth="1"/>
    <col min="10502" max="10502" width="20.140625" style="311" customWidth="1"/>
    <col min="10503" max="10505" width="17.28515625" style="311" customWidth="1"/>
    <col min="10506" max="10506" width="13.42578125" style="311" bestFit="1" customWidth="1"/>
    <col min="10507" max="10507" width="11" style="311" bestFit="1" customWidth="1"/>
    <col min="10508" max="10508" width="35.42578125" style="311" customWidth="1"/>
    <col min="10509" max="10752" width="9.140625" style="311"/>
    <col min="10753" max="10753" width="13.7109375" style="311" bestFit="1" customWidth="1"/>
    <col min="10754" max="10754" width="18.85546875" style="311" customWidth="1"/>
    <col min="10755" max="10755" width="78.85546875" style="311" customWidth="1"/>
    <col min="10756" max="10756" width="20.85546875" style="311" customWidth="1"/>
    <col min="10757" max="10757" width="14" style="311" customWidth="1"/>
    <col min="10758" max="10758" width="20.140625" style="311" customWidth="1"/>
    <col min="10759" max="10761" width="17.28515625" style="311" customWidth="1"/>
    <col min="10762" max="10762" width="13.42578125" style="311" bestFit="1" customWidth="1"/>
    <col min="10763" max="10763" width="11" style="311" bestFit="1" customWidth="1"/>
    <col min="10764" max="10764" width="35.42578125" style="311" customWidth="1"/>
    <col min="10765" max="11008" width="9.140625" style="311"/>
    <col min="11009" max="11009" width="13.7109375" style="311" bestFit="1" customWidth="1"/>
    <col min="11010" max="11010" width="18.85546875" style="311" customWidth="1"/>
    <col min="11011" max="11011" width="78.85546875" style="311" customWidth="1"/>
    <col min="11012" max="11012" width="20.85546875" style="311" customWidth="1"/>
    <col min="11013" max="11013" width="14" style="311" customWidth="1"/>
    <col min="11014" max="11014" width="20.140625" style="311" customWidth="1"/>
    <col min="11015" max="11017" width="17.28515625" style="311" customWidth="1"/>
    <col min="11018" max="11018" width="13.42578125" style="311" bestFit="1" customWidth="1"/>
    <col min="11019" max="11019" width="11" style="311" bestFit="1" customWidth="1"/>
    <col min="11020" max="11020" width="35.42578125" style="311" customWidth="1"/>
    <col min="11021" max="11264" width="9.140625" style="311"/>
    <col min="11265" max="11265" width="13.7109375" style="311" bestFit="1" customWidth="1"/>
    <col min="11266" max="11266" width="18.85546875" style="311" customWidth="1"/>
    <col min="11267" max="11267" width="78.85546875" style="311" customWidth="1"/>
    <col min="11268" max="11268" width="20.85546875" style="311" customWidth="1"/>
    <col min="11269" max="11269" width="14" style="311" customWidth="1"/>
    <col min="11270" max="11270" width="20.140625" style="311" customWidth="1"/>
    <col min="11271" max="11273" width="17.28515625" style="311" customWidth="1"/>
    <col min="11274" max="11274" width="13.42578125" style="311" bestFit="1" customWidth="1"/>
    <col min="11275" max="11275" width="11" style="311" bestFit="1" customWidth="1"/>
    <col min="11276" max="11276" width="35.42578125" style="311" customWidth="1"/>
    <col min="11277" max="11520" width="9.140625" style="311"/>
    <col min="11521" max="11521" width="13.7109375" style="311" bestFit="1" customWidth="1"/>
    <col min="11522" max="11522" width="18.85546875" style="311" customWidth="1"/>
    <col min="11523" max="11523" width="78.85546875" style="311" customWidth="1"/>
    <col min="11524" max="11524" width="20.85546875" style="311" customWidth="1"/>
    <col min="11525" max="11525" width="14" style="311" customWidth="1"/>
    <col min="11526" max="11526" width="20.140625" style="311" customWidth="1"/>
    <col min="11527" max="11529" width="17.28515625" style="311" customWidth="1"/>
    <col min="11530" max="11530" width="13.42578125" style="311" bestFit="1" customWidth="1"/>
    <col min="11531" max="11531" width="11" style="311" bestFit="1" customWidth="1"/>
    <col min="11532" max="11532" width="35.42578125" style="311" customWidth="1"/>
    <col min="11533" max="11776" width="9.140625" style="311"/>
    <col min="11777" max="11777" width="13.7109375" style="311" bestFit="1" customWidth="1"/>
    <col min="11778" max="11778" width="18.85546875" style="311" customWidth="1"/>
    <col min="11779" max="11779" width="78.85546875" style="311" customWidth="1"/>
    <col min="11780" max="11780" width="20.85546875" style="311" customWidth="1"/>
    <col min="11781" max="11781" width="14" style="311" customWidth="1"/>
    <col min="11782" max="11782" width="20.140625" style="311" customWidth="1"/>
    <col min="11783" max="11785" width="17.28515625" style="311" customWidth="1"/>
    <col min="11786" max="11786" width="13.42578125" style="311" bestFit="1" customWidth="1"/>
    <col min="11787" max="11787" width="11" style="311" bestFit="1" customWidth="1"/>
    <col min="11788" max="11788" width="35.42578125" style="311" customWidth="1"/>
    <col min="11789" max="12032" width="9.140625" style="311"/>
    <col min="12033" max="12033" width="13.7109375" style="311" bestFit="1" customWidth="1"/>
    <col min="12034" max="12034" width="18.85546875" style="311" customWidth="1"/>
    <col min="12035" max="12035" width="78.85546875" style="311" customWidth="1"/>
    <col min="12036" max="12036" width="20.85546875" style="311" customWidth="1"/>
    <col min="12037" max="12037" width="14" style="311" customWidth="1"/>
    <col min="12038" max="12038" width="20.140625" style="311" customWidth="1"/>
    <col min="12039" max="12041" width="17.28515625" style="311" customWidth="1"/>
    <col min="12042" max="12042" width="13.42578125" style="311" bestFit="1" customWidth="1"/>
    <col min="12043" max="12043" width="11" style="311" bestFit="1" customWidth="1"/>
    <col min="12044" max="12044" width="35.42578125" style="311" customWidth="1"/>
    <col min="12045" max="12288" width="9.140625" style="311"/>
    <col min="12289" max="12289" width="13.7109375" style="311" bestFit="1" customWidth="1"/>
    <col min="12290" max="12290" width="18.85546875" style="311" customWidth="1"/>
    <col min="12291" max="12291" width="78.85546875" style="311" customWidth="1"/>
    <col min="12292" max="12292" width="20.85546875" style="311" customWidth="1"/>
    <col min="12293" max="12293" width="14" style="311" customWidth="1"/>
    <col min="12294" max="12294" width="20.140625" style="311" customWidth="1"/>
    <col min="12295" max="12297" width="17.28515625" style="311" customWidth="1"/>
    <col min="12298" max="12298" width="13.42578125" style="311" bestFit="1" customWidth="1"/>
    <col min="12299" max="12299" width="11" style="311" bestFit="1" customWidth="1"/>
    <col min="12300" max="12300" width="35.42578125" style="311" customWidth="1"/>
    <col min="12301" max="12544" width="9.140625" style="311"/>
    <col min="12545" max="12545" width="13.7109375" style="311" bestFit="1" customWidth="1"/>
    <col min="12546" max="12546" width="18.85546875" style="311" customWidth="1"/>
    <col min="12547" max="12547" width="78.85546875" style="311" customWidth="1"/>
    <col min="12548" max="12548" width="20.85546875" style="311" customWidth="1"/>
    <col min="12549" max="12549" width="14" style="311" customWidth="1"/>
    <col min="12550" max="12550" width="20.140625" style="311" customWidth="1"/>
    <col min="12551" max="12553" width="17.28515625" style="311" customWidth="1"/>
    <col min="12554" max="12554" width="13.42578125" style="311" bestFit="1" customWidth="1"/>
    <col min="12555" max="12555" width="11" style="311" bestFit="1" customWidth="1"/>
    <col min="12556" max="12556" width="35.42578125" style="311" customWidth="1"/>
    <col min="12557" max="12800" width="9.140625" style="311"/>
    <col min="12801" max="12801" width="13.7109375" style="311" bestFit="1" customWidth="1"/>
    <col min="12802" max="12802" width="18.85546875" style="311" customWidth="1"/>
    <col min="12803" max="12803" width="78.85546875" style="311" customWidth="1"/>
    <col min="12804" max="12804" width="20.85546875" style="311" customWidth="1"/>
    <col min="12805" max="12805" width="14" style="311" customWidth="1"/>
    <col min="12806" max="12806" width="20.140625" style="311" customWidth="1"/>
    <col min="12807" max="12809" width="17.28515625" style="311" customWidth="1"/>
    <col min="12810" max="12810" width="13.42578125" style="311" bestFit="1" customWidth="1"/>
    <col min="12811" max="12811" width="11" style="311" bestFit="1" customWidth="1"/>
    <col min="12812" max="12812" width="35.42578125" style="311" customWidth="1"/>
    <col min="12813" max="13056" width="9.140625" style="311"/>
    <col min="13057" max="13057" width="13.7109375" style="311" bestFit="1" customWidth="1"/>
    <col min="13058" max="13058" width="18.85546875" style="311" customWidth="1"/>
    <col min="13059" max="13059" width="78.85546875" style="311" customWidth="1"/>
    <col min="13060" max="13060" width="20.85546875" style="311" customWidth="1"/>
    <col min="13061" max="13061" width="14" style="311" customWidth="1"/>
    <col min="13062" max="13062" width="20.140625" style="311" customWidth="1"/>
    <col min="13063" max="13065" width="17.28515625" style="311" customWidth="1"/>
    <col min="13066" max="13066" width="13.42578125" style="311" bestFit="1" customWidth="1"/>
    <col min="13067" max="13067" width="11" style="311" bestFit="1" customWidth="1"/>
    <col min="13068" max="13068" width="35.42578125" style="311" customWidth="1"/>
    <col min="13069" max="13312" width="9.140625" style="311"/>
    <col min="13313" max="13313" width="13.7109375" style="311" bestFit="1" customWidth="1"/>
    <col min="13314" max="13314" width="18.85546875" style="311" customWidth="1"/>
    <col min="13315" max="13315" width="78.85546875" style="311" customWidth="1"/>
    <col min="13316" max="13316" width="20.85546875" style="311" customWidth="1"/>
    <col min="13317" max="13317" width="14" style="311" customWidth="1"/>
    <col min="13318" max="13318" width="20.140625" style="311" customWidth="1"/>
    <col min="13319" max="13321" width="17.28515625" style="311" customWidth="1"/>
    <col min="13322" max="13322" width="13.42578125" style="311" bestFit="1" customWidth="1"/>
    <col min="13323" max="13323" width="11" style="311" bestFit="1" customWidth="1"/>
    <col min="13324" max="13324" width="35.42578125" style="311" customWidth="1"/>
    <col min="13325" max="13568" width="9.140625" style="311"/>
    <col min="13569" max="13569" width="13.7109375" style="311" bestFit="1" customWidth="1"/>
    <col min="13570" max="13570" width="18.85546875" style="311" customWidth="1"/>
    <col min="13571" max="13571" width="78.85546875" style="311" customWidth="1"/>
    <col min="13572" max="13572" width="20.85546875" style="311" customWidth="1"/>
    <col min="13573" max="13573" width="14" style="311" customWidth="1"/>
    <col min="13574" max="13574" width="20.140625" style="311" customWidth="1"/>
    <col min="13575" max="13577" width="17.28515625" style="311" customWidth="1"/>
    <col min="13578" max="13578" width="13.42578125" style="311" bestFit="1" customWidth="1"/>
    <col min="13579" max="13579" width="11" style="311" bestFit="1" customWidth="1"/>
    <col min="13580" max="13580" width="35.42578125" style="311" customWidth="1"/>
    <col min="13581" max="13824" width="9.140625" style="311"/>
    <col min="13825" max="13825" width="13.7109375" style="311" bestFit="1" customWidth="1"/>
    <col min="13826" max="13826" width="18.85546875" style="311" customWidth="1"/>
    <col min="13827" max="13827" width="78.85546875" style="311" customWidth="1"/>
    <col min="13828" max="13828" width="20.85546875" style="311" customWidth="1"/>
    <col min="13829" max="13829" width="14" style="311" customWidth="1"/>
    <col min="13830" max="13830" width="20.140625" style="311" customWidth="1"/>
    <col min="13831" max="13833" width="17.28515625" style="311" customWidth="1"/>
    <col min="13834" max="13834" width="13.42578125" style="311" bestFit="1" customWidth="1"/>
    <col min="13835" max="13835" width="11" style="311" bestFit="1" customWidth="1"/>
    <col min="13836" max="13836" width="35.42578125" style="311" customWidth="1"/>
    <col min="13837" max="14080" width="9.140625" style="311"/>
    <col min="14081" max="14081" width="13.7109375" style="311" bestFit="1" customWidth="1"/>
    <col min="14082" max="14082" width="18.85546875" style="311" customWidth="1"/>
    <col min="14083" max="14083" width="78.85546875" style="311" customWidth="1"/>
    <col min="14084" max="14084" width="20.85546875" style="311" customWidth="1"/>
    <col min="14085" max="14085" width="14" style="311" customWidth="1"/>
    <col min="14086" max="14086" width="20.140625" style="311" customWidth="1"/>
    <col min="14087" max="14089" width="17.28515625" style="311" customWidth="1"/>
    <col min="14090" max="14090" width="13.42578125" style="311" bestFit="1" customWidth="1"/>
    <col min="14091" max="14091" width="11" style="311" bestFit="1" customWidth="1"/>
    <col min="14092" max="14092" width="35.42578125" style="311" customWidth="1"/>
    <col min="14093" max="14336" width="9.140625" style="311"/>
    <col min="14337" max="14337" width="13.7109375" style="311" bestFit="1" customWidth="1"/>
    <col min="14338" max="14338" width="18.85546875" style="311" customWidth="1"/>
    <col min="14339" max="14339" width="78.85546875" style="311" customWidth="1"/>
    <col min="14340" max="14340" width="20.85546875" style="311" customWidth="1"/>
    <col min="14341" max="14341" width="14" style="311" customWidth="1"/>
    <col min="14342" max="14342" width="20.140625" style="311" customWidth="1"/>
    <col min="14343" max="14345" width="17.28515625" style="311" customWidth="1"/>
    <col min="14346" max="14346" width="13.42578125" style="311" bestFit="1" customWidth="1"/>
    <col min="14347" max="14347" width="11" style="311" bestFit="1" customWidth="1"/>
    <col min="14348" max="14348" width="35.42578125" style="311" customWidth="1"/>
    <col min="14349" max="14592" width="9.140625" style="311"/>
    <col min="14593" max="14593" width="13.7109375" style="311" bestFit="1" customWidth="1"/>
    <col min="14594" max="14594" width="18.85546875" style="311" customWidth="1"/>
    <col min="14595" max="14595" width="78.85546875" style="311" customWidth="1"/>
    <col min="14596" max="14596" width="20.85546875" style="311" customWidth="1"/>
    <col min="14597" max="14597" width="14" style="311" customWidth="1"/>
    <col min="14598" max="14598" width="20.140625" style="311" customWidth="1"/>
    <col min="14599" max="14601" width="17.28515625" style="311" customWidth="1"/>
    <col min="14602" max="14602" width="13.42578125" style="311" bestFit="1" customWidth="1"/>
    <col min="14603" max="14603" width="11" style="311" bestFit="1" customWidth="1"/>
    <col min="14604" max="14604" width="35.42578125" style="311" customWidth="1"/>
    <col min="14605" max="14848" width="9.140625" style="311"/>
    <col min="14849" max="14849" width="13.7109375" style="311" bestFit="1" customWidth="1"/>
    <col min="14850" max="14850" width="18.85546875" style="311" customWidth="1"/>
    <col min="14851" max="14851" width="78.85546875" style="311" customWidth="1"/>
    <col min="14852" max="14852" width="20.85546875" style="311" customWidth="1"/>
    <col min="14853" max="14853" width="14" style="311" customWidth="1"/>
    <col min="14854" max="14854" width="20.140625" style="311" customWidth="1"/>
    <col min="14855" max="14857" width="17.28515625" style="311" customWidth="1"/>
    <col min="14858" max="14858" width="13.42578125" style="311" bestFit="1" customWidth="1"/>
    <col min="14859" max="14859" width="11" style="311" bestFit="1" customWidth="1"/>
    <col min="14860" max="14860" width="35.42578125" style="311" customWidth="1"/>
    <col min="14861" max="15104" width="9.140625" style="311"/>
    <col min="15105" max="15105" width="13.7109375" style="311" bestFit="1" customWidth="1"/>
    <col min="15106" max="15106" width="18.85546875" style="311" customWidth="1"/>
    <col min="15107" max="15107" width="78.85546875" style="311" customWidth="1"/>
    <col min="15108" max="15108" width="20.85546875" style="311" customWidth="1"/>
    <col min="15109" max="15109" width="14" style="311" customWidth="1"/>
    <col min="15110" max="15110" width="20.140625" style="311" customWidth="1"/>
    <col min="15111" max="15113" width="17.28515625" style="311" customWidth="1"/>
    <col min="15114" max="15114" width="13.42578125" style="311" bestFit="1" customWidth="1"/>
    <col min="15115" max="15115" width="11" style="311" bestFit="1" customWidth="1"/>
    <col min="15116" max="15116" width="35.42578125" style="311" customWidth="1"/>
    <col min="15117" max="15360" width="9.140625" style="311"/>
    <col min="15361" max="15361" width="13.7109375" style="311" bestFit="1" customWidth="1"/>
    <col min="15362" max="15362" width="18.85546875" style="311" customWidth="1"/>
    <col min="15363" max="15363" width="78.85546875" style="311" customWidth="1"/>
    <col min="15364" max="15364" width="20.85546875" style="311" customWidth="1"/>
    <col min="15365" max="15365" width="14" style="311" customWidth="1"/>
    <col min="15366" max="15366" width="20.140625" style="311" customWidth="1"/>
    <col min="15367" max="15369" width="17.28515625" style="311" customWidth="1"/>
    <col min="15370" max="15370" width="13.42578125" style="311" bestFit="1" customWidth="1"/>
    <col min="15371" max="15371" width="11" style="311" bestFit="1" customWidth="1"/>
    <col min="15372" max="15372" width="35.42578125" style="311" customWidth="1"/>
    <col min="15373" max="15616" width="9.140625" style="311"/>
    <col min="15617" max="15617" width="13.7109375" style="311" bestFit="1" customWidth="1"/>
    <col min="15618" max="15618" width="18.85546875" style="311" customWidth="1"/>
    <col min="15619" max="15619" width="78.85546875" style="311" customWidth="1"/>
    <col min="15620" max="15620" width="20.85546875" style="311" customWidth="1"/>
    <col min="15621" max="15621" width="14" style="311" customWidth="1"/>
    <col min="15622" max="15622" width="20.140625" style="311" customWidth="1"/>
    <col min="15623" max="15625" width="17.28515625" style="311" customWidth="1"/>
    <col min="15626" max="15626" width="13.42578125" style="311" bestFit="1" customWidth="1"/>
    <col min="15627" max="15627" width="11" style="311" bestFit="1" customWidth="1"/>
    <col min="15628" max="15628" width="35.42578125" style="311" customWidth="1"/>
    <col min="15629" max="15872" width="9.140625" style="311"/>
    <col min="15873" max="15873" width="13.7109375" style="311" bestFit="1" customWidth="1"/>
    <col min="15874" max="15874" width="18.85546875" style="311" customWidth="1"/>
    <col min="15875" max="15875" width="78.85546875" style="311" customWidth="1"/>
    <col min="15876" max="15876" width="20.85546875" style="311" customWidth="1"/>
    <col min="15877" max="15877" width="14" style="311" customWidth="1"/>
    <col min="15878" max="15878" width="20.140625" style="311" customWidth="1"/>
    <col min="15879" max="15881" width="17.28515625" style="311" customWidth="1"/>
    <col min="15882" max="15882" width="13.42578125" style="311" bestFit="1" customWidth="1"/>
    <col min="15883" max="15883" width="11" style="311" bestFit="1" customWidth="1"/>
    <col min="15884" max="15884" width="35.42578125" style="311" customWidth="1"/>
    <col min="15885" max="16128" width="9.140625" style="311"/>
    <col min="16129" max="16129" width="13.7109375" style="311" bestFit="1" customWidth="1"/>
    <col min="16130" max="16130" width="18.85546875" style="311" customWidth="1"/>
    <col min="16131" max="16131" width="78.85546875" style="311" customWidth="1"/>
    <col min="16132" max="16132" width="20.85546875" style="311" customWidth="1"/>
    <col min="16133" max="16133" width="14" style="311" customWidth="1"/>
    <col min="16134" max="16134" width="20.140625" style="311" customWidth="1"/>
    <col min="16135" max="16137" width="17.28515625" style="311" customWidth="1"/>
    <col min="16138" max="16138" width="13.42578125" style="311" bestFit="1" customWidth="1"/>
    <col min="16139" max="16139" width="11" style="311" bestFit="1" customWidth="1"/>
    <col min="16140" max="16140" width="35.42578125" style="311" customWidth="1"/>
    <col min="16141" max="16384" width="9.140625" style="311"/>
  </cols>
  <sheetData>
    <row r="1" spans="1:14" s="275" customFormat="1" ht="23.25">
      <c r="A1" s="276"/>
      <c r="B1" s="268"/>
      <c r="C1" s="277"/>
      <c r="D1" s="270"/>
      <c r="E1" s="271"/>
      <c r="G1" s="278" t="s">
        <v>533</v>
      </c>
      <c r="H1" s="272"/>
      <c r="I1" s="272"/>
      <c r="J1" s="272"/>
      <c r="K1" s="272"/>
      <c r="L1" s="272"/>
      <c r="M1" s="272"/>
      <c r="N1" s="279"/>
    </row>
    <row r="2" spans="1:14" s="275" customFormat="1">
      <c r="A2" s="267"/>
      <c r="B2" s="268"/>
      <c r="C2" s="277"/>
      <c r="D2" s="270"/>
      <c r="E2" s="271"/>
      <c r="F2" s="272"/>
      <c r="G2" s="273"/>
      <c r="H2" s="272"/>
      <c r="I2" s="272"/>
      <c r="J2" s="272"/>
      <c r="K2" s="272"/>
      <c r="L2" s="272"/>
      <c r="M2" s="272"/>
      <c r="N2" s="279"/>
    </row>
    <row r="3" spans="1:14" s="275" customFormat="1">
      <c r="A3" s="267" t="s">
        <v>527</v>
      </c>
      <c r="B3" s="268"/>
      <c r="C3" s="277"/>
      <c r="D3" s="270"/>
      <c r="E3" s="271"/>
      <c r="F3" s="272"/>
      <c r="G3" s="273"/>
      <c r="H3" s="272"/>
      <c r="I3" s="272"/>
      <c r="J3" s="272"/>
      <c r="K3" s="272"/>
      <c r="L3" s="272"/>
      <c r="M3" s="272"/>
      <c r="N3" s="279"/>
    </row>
    <row r="4" spans="1:14" s="275" customFormat="1">
      <c r="A4" s="267" t="s">
        <v>808</v>
      </c>
      <c r="B4" s="268"/>
      <c r="C4" s="277"/>
      <c r="D4" s="270"/>
      <c r="E4" s="271"/>
      <c r="F4" s="272"/>
      <c r="G4" s="273"/>
      <c r="H4" s="272"/>
      <c r="I4" s="272"/>
      <c r="J4" s="272"/>
      <c r="K4" s="272"/>
      <c r="L4" s="272"/>
      <c r="M4" s="272"/>
      <c r="N4" s="279"/>
    </row>
    <row r="5" spans="1:14" s="275" customFormat="1">
      <c r="A5" s="267" t="s">
        <v>530</v>
      </c>
      <c r="B5" s="268"/>
      <c r="C5" s="277"/>
      <c r="D5" s="270"/>
      <c r="E5" s="271"/>
      <c r="F5" s="272"/>
      <c r="G5" s="273"/>
      <c r="H5" s="272"/>
      <c r="I5" s="272"/>
      <c r="J5" s="272"/>
      <c r="K5" s="272"/>
      <c r="L5" s="272"/>
      <c r="M5" s="272"/>
      <c r="N5" s="279"/>
    </row>
    <row r="6" spans="1:14" s="275" customFormat="1">
      <c r="A6" s="267" t="s">
        <v>531</v>
      </c>
      <c r="B6" s="268"/>
      <c r="C6" s="277"/>
      <c r="D6" s="270"/>
      <c r="E6" s="271"/>
      <c r="F6" s="272"/>
      <c r="G6" s="273"/>
      <c r="H6" s="272"/>
      <c r="I6" s="272"/>
      <c r="J6" s="272"/>
      <c r="K6" s="272"/>
      <c r="L6" s="272"/>
      <c r="M6" s="272"/>
      <c r="N6" s="279"/>
    </row>
    <row r="7" spans="1:14" s="275" customFormat="1">
      <c r="A7" s="276"/>
      <c r="B7" s="268"/>
      <c r="C7" s="277"/>
      <c r="D7" s="270"/>
      <c r="E7" s="271"/>
      <c r="F7" s="272"/>
      <c r="G7" s="273"/>
      <c r="H7" s="272"/>
      <c r="I7" s="272"/>
      <c r="J7" s="272"/>
      <c r="K7" s="272"/>
      <c r="L7" s="272"/>
      <c r="M7" s="272"/>
      <c r="N7" s="279"/>
    </row>
    <row r="8" spans="1:14" s="328" customFormat="1" ht="15" customHeight="1">
      <c r="A8" s="601" t="s">
        <v>0</v>
      </c>
      <c r="B8" s="601" t="s">
        <v>653</v>
      </c>
      <c r="C8" s="602" t="s">
        <v>582</v>
      </c>
      <c r="D8" s="603" t="s">
        <v>44</v>
      </c>
      <c r="E8" s="604" t="s">
        <v>654</v>
      </c>
      <c r="F8" s="605" t="s">
        <v>655</v>
      </c>
      <c r="G8" s="600" t="s">
        <v>656</v>
      </c>
      <c r="H8" s="600"/>
      <c r="I8" s="600"/>
    </row>
    <row r="9" spans="1:14" s="328" customFormat="1" ht="30.75" customHeight="1">
      <c r="A9" s="601"/>
      <c r="B9" s="601"/>
      <c r="C9" s="602"/>
      <c r="D9" s="603"/>
      <c r="E9" s="604"/>
      <c r="F9" s="605"/>
      <c r="G9" s="329" t="s">
        <v>657</v>
      </c>
      <c r="H9" s="329" t="s">
        <v>490</v>
      </c>
      <c r="I9" s="330" t="s">
        <v>435</v>
      </c>
    </row>
    <row r="10" spans="1:14" s="338" customFormat="1" ht="15.75">
      <c r="A10" s="331" t="s">
        <v>658</v>
      </c>
      <c r="B10" s="332">
        <v>88504</v>
      </c>
      <c r="C10" s="333" t="s">
        <v>939</v>
      </c>
      <c r="D10" s="332" t="s">
        <v>659</v>
      </c>
      <c r="E10" s="334">
        <v>1</v>
      </c>
      <c r="F10" s="335">
        <f>I10</f>
        <v>346.60400000000004</v>
      </c>
      <c r="G10" s="335">
        <f>SUM(G11:G24)</f>
        <v>160.22</v>
      </c>
      <c r="H10" s="335">
        <f>SUM(H11:H24)</f>
        <v>186.38400000000001</v>
      </c>
      <c r="I10" s="335">
        <f>SUM(I11:I24)</f>
        <v>346.60400000000004</v>
      </c>
      <c r="J10" s="336"/>
      <c r="K10" s="337"/>
    </row>
    <row r="11" spans="1:14" s="347" customFormat="1" ht="11.25" customHeight="1">
      <c r="A11" s="339" t="s">
        <v>683</v>
      </c>
      <c r="B11" s="340">
        <v>67</v>
      </c>
      <c r="C11" s="341" t="s">
        <v>810</v>
      </c>
      <c r="D11" s="342" t="s">
        <v>660</v>
      </c>
      <c r="E11" s="343">
        <v>1</v>
      </c>
      <c r="F11" s="344">
        <v>3.5</v>
      </c>
      <c r="G11" s="344">
        <f t="shared" ref="G11:G22" si="0">F11*E11</f>
        <v>3.5</v>
      </c>
      <c r="H11" s="345"/>
      <c r="I11" s="346">
        <f>G11+H11</f>
        <v>3.5</v>
      </c>
    </row>
    <row r="12" spans="1:14" s="347" customFormat="1" ht="28.5">
      <c r="A12" s="348" t="s">
        <v>683</v>
      </c>
      <c r="B12" s="340">
        <v>68</v>
      </c>
      <c r="C12" s="341" t="s">
        <v>811</v>
      </c>
      <c r="D12" s="342" t="s">
        <v>660</v>
      </c>
      <c r="E12" s="343">
        <v>2</v>
      </c>
      <c r="F12" s="344">
        <v>6.25</v>
      </c>
      <c r="G12" s="344">
        <f t="shared" si="0"/>
        <v>12.5</v>
      </c>
      <c r="H12" s="345"/>
      <c r="I12" s="346">
        <f t="shared" ref="I12:I24" si="1">G12+H12</f>
        <v>12.5</v>
      </c>
    </row>
    <row r="13" spans="1:14" s="347" customFormat="1" ht="28.5">
      <c r="A13" s="339" t="s">
        <v>683</v>
      </c>
      <c r="B13" s="340">
        <v>87</v>
      </c>
      <c r="C13" s="341" t="s">
        <v>812</v>
      </c>
      <c r="D13" s="342" t="s">
        <v>660</v>
      </c>
      <c r="E13" s="343">
        <v>1</v>
      </c>
      <c r="F13" s="344">
        <v>7.54</v>
      </c>
      <c r="G13" s="344">
        <f t="shared" si="0"/>
        <v>7.54</v>
      </c>
      <c r="H13" s="345"/>
      <c r="I13" s="346">
        <f t="shared" si="1"/>
        <v>7.54</v>
      </c>
    </row>
    <row r="14" spans="1:14" s="347" customFormat="1" ht="14.25">
      <c r="A14" s="339" t="s">
        <v>683</v>
      </c>
      <c r="B14" s="340">
        <v>119</v>
      </c>
      <c r="C14" s="341" t="s">
        <v>813</v>
      </c>
      <c r="D14" s="342" t="s">
        <v>660</v>
      </c>
      <c r="E14" s="343">
        <v>0.4</v>
      </c>
      <c r="F14" s="344">
        <v>2</v>
      </c>
      <c r="G14" s="344">
        <f t="shared" si="0"/>
        <v>0.8</v>
      </c>
      <c r="H14" s="345"/>
      <c r="I14" s="346">
        <f t="shared" si="1"/>
        <v>0.8</v>
      </c>
    </row>
    <row r="15" spans="1:14" s="347" customFormat="1" ht="14.25">
      <c r="A15" s="339" t="s">
        <v>683</v>
      </c>
      <c r="B15" s="340">
        <v>3146</v>
      </c>
      <c r="C15" s="341" t="s">
        <v>814</v>
      </c>
      <c r="D15" s="342" t="s">
        <v>660</v>
      </c>
      <c r="E15" s="343">
        <v>0.3</v>
      </c>
      <c r="F15" s="344">
        <v>1.5</v>
      </c>
      <c r="G15" s="344">
        <f t="shared" si="0"/>
        <v>0.44999999999999996</v>
      </c>
      <c r="H15" s="345"/>
      <c r="I15" s="346">
        <f t="shared" si="1"/>
        <v>0.44999999999999996</v>
      </c>
    </row>
    <row r="16" spans="1:14" s="347" customFormat="1" ht="14.25">
      <c r="A16" s="339" t="s">
        <v>683</v>
      </c>
      <c r="B16" s="340">
        <v>3536</v>
      </c>
      <c r="C16" s="341" t="s">
        <v>815</v>
      </c>
      <c r="D16" s="342" t="s">
        <v>660</v>
      </c>
      <c r="E16" s="343">
        <v>1</v>
      </c>
      <c r="F16" s="344">
        <v>1.29</v>
      </c>
      <c r="G16" s="344">
        <f t="shared" si="0"/>
        <v>1.29</v>
      </c>
      <c r="H16" s="345"/>
      <c r="I16" s="346">
        <f t="shared" si="1"/>
        <v>1.29</v>
      </c>
    </row>
    <row r="17" spans="1:12" s="347" customFormat="1" ht="28.5">
      <c r="A17" s="339" t="s">
        <v>683</v>
      </c>
      <c r="B17" s="340">
        <v>7140</v>
      </c>
      <c r="C17" s="341" t="s">
        <v>816</v>
      </c>
      <c r="D17" s="342" t="s">
        <v>660</v>
      </c>
      <c r="E17" s="343">
        <v>1</v>
      </c>
      <c r="F17" s="344">
        <v>2.08</v>
      </c>
      <c r="G17" s="344">
        <f t="shared" si="0"/>
        <v>2.08</v>
      </c>
      <c r="H17" s="345"/>
      <c r="I17" s="346">
        <f t="shared" si="1"/>
        <v>2.08</v>
      </c>
    </row>
    <row r="18" spans="1:12" s="347" customFormat="1" ht="14.25">
      <c r="A18" s="339" t="s">
        <v>683</v>
      </c>
      <c r="B18" s="340">
        <v>9868</v>
      </c>
      <c r="C18" s="341" t="s">
        <v>817</v>
      </c>
      <c r="D18" s="342" t="s">
        <v>661</v>
      </c>
      <c r="E18" s="343">
        <v>1.5</v>
      </c>
      <c r="F18" s="344">
        <v>2.46</v>
      </c>
      <c r="G18" s="344">
        <f t="shared" si="0"/>
        <v>3.69</v>
      </c>
      <c r="H18" s="345"/>
      <c r="I18" s="346">
        <f t="shared" si="1"/>
        <v>3.69</v>
      </c>
    </row>
    <row r="19" spans="1:12" s="347" customFormat="1" ht="14.25">
      <c r="A19" s="339" t="s">
        <v>683</v>
      </c>
      <c r="B19" s="340">
        <v>9869</v>
      </c>
      <c r="C19" s="341" t="s">
        <v>818</v>
      </c>
      <c r="D19" s="342" t="s">
        <v>661</v>
      </c>
      <c r="E19" s="343">
        <v>2</v>
      </c>
      <c r="F19" s="344">
        <v>5.27</v>
      </c>
      <c r="G19" s="344">
        <f t="shared" si="0"/>
        <v>10.54</v>
      </c>
      <c r="H19" s="345"/>
      <c r="I19" s="346">
        <f t="shared" si="1"/>
        <v>10.54</v>
      </c>
      <c r="L19" s="349" t="s">
        <v>41</v>
      </c>
    </row>
    <row r="20" spans="1:12" s="347" customFormat="1" ht="28.5">
      <c r="A20" s="339" t="s">
        <v>683</v>
      </c>
      <c r="B20" s="340">
        <v>11675</v>
      </c>
      <c r="C20" s="341" t="s">
        <v>819</v>
      </c>
      <c r="D20" s="342" t="s">
        <v>660</v>
      </c>
      <c r="E20" s="343">
        <v>1</v>
      </c>
      <c r="F20" s="344">
        <v>18.25</v>
      </c>
      <c r="G20" s="344">
        <f t="shared" si="0"/>
        <v>18.25</v>
      </c>
      <c r="H20" s="345"/>
      <c r="I20" s="346">
        <f t="shared" si="1"/>
        <v>18.25</v>
      </c>
    </row>
    <row r="21" spans="1:12" s="347" customFormat="1" ht="28.5">
      <c r="A21" s="339" t="s">
        <v>683</v>
      </c>
      <c r="B21" s="340">
        <v>11829</v>
      </c>
      <c r="C21" s="341" t="s">
        <v>820</v>
      </c>
      <c r="D21" s="342" t="s">
        <v>660</v>
      </c>
      <c r="E21" s="343">
        <v>1</v>
      </c>
      <c r="F21" s="344">
        <v>9.58</v>
      </c>
      <c r="G21" s="344">
        <f t="shared" si="0"/>
        <v>9.58</v>
      </c>
      <c r="H21" s="345"/>
      <c r="I21" s="346">
        <f t="shared" si="1"/>
        <v>9.58</v>
      </c>
    </row>
    <row r="22" spans="1:12" s="347" customFormat="1" ht="14.25">
      <c r="A22" s="339" t="s">
        <v>683</v>
      </c>
      <c r="B22" s="340">
        <v>34637</v>
      </c>
      <c r="C22" s="341" t="s">
        <v>821</v>
      </c>
      <c r="D22" s="342" t="s">
        <v>660</v>
      </c>
      <c r="E22" s="343">
        <v>1</v>
      </c>
      <c r="F22" s="344">
        <v>90</v>
      </c>
      <c r="G22" s="344">
        <f t="shared" si="0"/>
        <v>90</v>
      </c>
      <c r="H22" s="345"/>
      <c r="I22" s="346">
        <f t="shared" si="1"/>
        <v>90</v>
      </c>
    </row>
    <row r="23" spans="1:12" s="347" customFormat="1" ht="28.5">
      <c r="A23" s="339" t="s">
        <v>683</v>
      </c>
      <c r="B23" s="340">
        <v>88248</v>
      </c>
      <c r="C23" s="341" t="s">
        <v>822</v>
      </c>
      <c r="D23" s="342" t="s">
        <v>662</v>
      </c>
      <c r="E23" s="343">
        <v>4.4000000000000004</v>
      </c>
      <c r="F23" s="344">
        <v>18.920000000000002</v>
      </c>
      <c r="G23" s="344"/>
      <c r="H23" s="345">
        <f t="shared" ref="H23:H24" si="2">F23*E23</f>
        <v>83.248000000000019</v>
      </c>
      <c r="I23" s="346">
        <f t="shared" si="1"/>
        <v>83.248000000000019</v>
      </c>
    </row>
    <row r="24" spans="1:12" s="347" customFormat="1" ht="28.5">
      <c r="A24" s="339" t="s">
        <v>683</v>
      </c>
      <c r="B24" s="340">
        <v>88267</v>
      </c>
      <c r="C24" s="341" t="s">
        <v>823</v>
      </c>
      <c r="D24" s="342" t="s">
        <v>662</v>
      </c>
      <c r="E24" s="343">
        <v>4.4000000000000004</v>
      </c>
      <c r="F24" s="344">
        <v>23.44</v>
      </c>
      <c r="G24" s="344"/>
      <c r="H24" s="345">
        <f t="shared" si="2"/>
        <v>103.13600000000001</v>
      </c>
      <c r="I24" s="346">
        <f t="shared" si="1"/>
        <v>103.13600000000001</v>
      </c>
    </row>
    <row r="25" spans="1:12" s="338" customFormat="1" ht="31.5">
      <c r="A25" s="331" t="s">
        <v>665</v>
      </c>
      <c r="B25" s="332" t="s">
        <v>824</v>
      </c>
      <c r="C25" s="333" t="s">
        <v>825</v>
      </c>
      <c r="D25" s="332" t="s">
        <v>659</v>
      </c>
      <c r="E25" s="334">
        <v>1</v>
      </c>
      <c r="F25" s="335">
        <f>I25</f>
        <v>16.1814</v>
      </c>
      <c r="G25" s="335">
        <f>SUM(G26)</f>
        <v>12</v>
      </c>
      <c r="H25" s="335">
        <f>SUM(H26:H27)</f>
        <v>4.1814</v>
      </c>
      <c r="I25" s="335">
        <f>SUM(I26:I27)</f>
        <v>16.1814</v>
      </c>
      <c r="J25" s="336"/>
      <c r="K25" s="337"/>
    </row>
    <row r="26" spans="1:12" s="347" customFormat="1" ht="11.25" customHeight="1">
      <c r="A26" s="339" t="s">
        <v>685</v>
      </c>
      <c r="B26" s="340">
        <v>39398</v>
      </c>
      <c r="C26" s="341" t="s">
        <v>826</v>
      </c>
      <c r="D26" s="342" t="s">
        <v>660</v>
      </c>
      <c r="E26" s="343">
        <v>1</v>
      </c>
      <c r="F26" s="344">
        <v>12</v>
      </c>
      <c r="G26" s="344">
        <f>F26*E26</f>
        <v>12</v>
      </c>
      <c r="H26" s="345"/>
      <c r="I26" s="346">
        <f t="shared" ref="I26:I27" si="3">G26+H26</f>
        <v>12</v>
      </c>
      <c r="J26" s="517"/>
    </row>
    <row r="27" spans="1:12" s="347" customFormat="1" ht="11.25" customHeight="1">
      <c r="A27" s="339" t="s">
        <v>685</v>
      </c>
      <c r="B27" s="340">
        <v>95541</v>
      </c>
      <c r="C27" s="341" t="s">
        <v>663</v>
      </c>
      <c r="D27" s="342" t="s">
        <v>662</v>
      </c>
      <c r="E27" s="343">
        <v>0.23</v>
      </c>
      <c r="F27" s="344">
        <v>18.18</v>
      </c>
      <c r="G27" s="344"/>
      <c r="H27" s="344">
        <f>F27*E27</f>
        <v>4.1814</v>
      </c>
      <c r="I27" s="346">
        <f t="shared" si="3"/>
        <v>4.1814</v>
      </c>
      <c r="J27" s="518"/>
    </row>
    <row r="28" spans="1:12" s="338" customFormat="1" ht="31.5">
      <c r="A28" s="331" t="s">
        <v>666</v>
      </c>
      <c r="B28" s="332" t="s">
        <v>824</v>
      </c>
      <c r="C28" s="333" t="s">
        <v>827</v>
      </c>
      <c r="D28" s="332" t="s">
        <v>659</v>
      </c>
      <c r="E28" s="334">
        <v>1</v>
      </c>
      <c r="F28" s="335">
        <f>I28</f>
        <v>61.925010634441094</v>
      </c>
      <c r="G28" s="335">
        <f>SUM(G29)</f>
        <v>55.562010634441094</v>
      </c>
      <c r="H28" s="335">
        <f>SUM(H29:H30)</f>
        <v>6.3629999999999995</v>
      </c>
      <c r="I28" s="335">
        <f>SUM(I29:I30)</f>
        <v>61.925010634441094</v>
      </c>
      <c r="J28" s="336">
        <v>61.925010634441094</v>
      </c>
      <c r="K28" s="337"/>
    </row>
    <row r="29" spans="1:12" s="347" customFormat="1" ht="11.25" customHeight="1">
      <c r="A29" s="339" t="s">
        <v>686</v>
      </c>
      <c r="B29" s="340">
        <v>39398</v>
      </c>
      <c r="C29" s="341" t="s">
        <v>828</v>
      </c>
      <c r="D29" s="342" t="s">
        <v>660</v>
      </c>
      <c r="E29" s="343">
        <v>1</v>
      </c>
      <c r="F29" s="344">
        <v>55.562010634441094</v>
      </c>
      <c r="G29" s="344">
        <f>F29*E29</f>
        <v>55.562010634441094</v>
      </c>
      <c r="H29" s="345"/>
      <c r="I29" s="346">
        <f t="shared" ref="I29:I30" si="4">G29+H29</f>
        <v>55.562010634441094</v>
      </c>
      <c r="J29" s="517">
        <f>J28-I30</f>
        <v>55.562010634441094</v>
      </c>
    </row>
    <row r="30" spans="1:12" s="347" customFormat="1" ht="11.25" customHeight="1">
      <c r="A30" s="339" t="s">
        <v>686</v>
      </c>
      <c r="B30" s="340">
        <v>95541</v>
      </c>
      <c r="C30" s="341" t="s">
        <v>663</v>
      </c>
      <c r="D30" s="342" t="s">
        <v>662</v>
      </c>
      <c r="E30" s="343">
        <v>0.35</v>
      </c>
      <c r="F30" s="344">
        <v>18.18</v>
      </c>
      <c r="G30" s="344"/>
      <c r="H30" s="344">
        <f>F30*E30</f>
        <v>6.3629999999999995</v>
      </c>
      <c r="I30" s="346">
        <f t="shared" si="4"/>
        <v>6.3629999999999995</v>
      </c>
      <c r="J30" s="518"/>
    </row>
    <row r="31" spans="1:12" s="347" customFormat="1" ht="47.25">
      <c r="A31" s="331" t="s">
        <v>844</v>
      </c>
      <c r="B31" s="332" t="s">
        <v>824</v>
      </c>
      <c r="C31" s="333" t="s">
        <v>940</v>
      </c>
      <c r="D31" s="332" t="s">
        <v>944</v>
      </c>
      <c r="E31" s="334">
        <v>1</v>
      </c>
      <c r="F31" s="335">
        <f>I31</f>
        <v>1682.8575744497168</v>
      </c>
      <c r="G31" s="335">
        <f>SUM(G32:G36)</f>
        <v>1009.71454466983</v>
      </c>
      <c r="H31" s="335">
        <f>SUM(H32:H36)</f>
        <v>673.14302977988666</v>
      </c>
      <c r="I31" s="335">
        <f>SUM(I32:I36)</f>
        <v>1682.8575744497168</v>
      </c>
      <c r="J31" s="347">
        <v>1009.71454466983</v>
      </c>
      <c r="K31" s="347" t="str">
        <f>IF(G31=J31,"OK","NÃO")</f>
        <v>OK</v>
      </c>
    </row>
    <row r="32" spans="1:12" s="347" customFormat="1" ht="14.25">
      <c r="A32" s="339" t="s">
        <v>686</v>
      </c>
      <c r="B32" s="340"/>
      <c r="C32" s="341" t="s">
        <v>941</v>
      </c>
      <c r="D32" s="342" t="s">
        <v>662</v>
      </c>
      <c r="E32" s="343">
        <f>31.039488000917/1.5</f>
        <v>20.692992000611333</v>
      </c>
      <c r="F32" s="344">
        <v>23.44</v>
      </c>
      <c r="G32" s="344"/>
      <c r="H32" s="344">
        <f>F32*E32</f>
        <v>485.04373249432967</v>
      </c>
      <c r="I32" s="346">
        <f t="shared" ref="I32:I36" si="5">G32+H32</f>
        <v>485.04373249432967</v>
      </c>
      <c r="J32" s="347">
        <v>2019.4290893396633</v>
      </c>
      <c r="K32" s="347" t="str">
        <f>IF(I31=J32,"OK","NÃO")</f>
        <v>NÃO</v>
      </c>
    </row>
    <row r="33" spans="1:9" s="347" customFormat="1" ht="14.25">
      <c r="A33" s="339" t="s">
        <v>686</v>
      </c>
      <c r="B33" s="340">
        <v>95541</v>
      </c>
      <c r="C33" s="341" t="s">
        <v>663</v>
      </c>
      <c r="D33" s="342" t="s">
        <v>662</v>
      </c>
      <c r="E33" s="343">
        <f>E32/2</f>
        <v>10.346496000305667</v>
      </c>
      <c r="F33" s="344">
        <v>18.18</v>
      </c>
      <c r="G33" s="344"/>
      <c r="H33" s="344">
        <f>F33*E33</f>
        <v>188.09929728555701</v>
      </c>
      <c r="I33" s="346">
        <f t="shared" si="5"/>
        <v>188.09929728555701</v>
      </c>
    </row>
    <row r="34" spans="1:9" s="347" customFormat="1" ht="14.25">
      <c r="A34" s="507"/>
      <c r="B34" s="508" t="s">
        <v>840</v>
      </c>
      <c r="C34" s="341" t="s">
        <v>942</v>
      </c>
      <c r="D34" s="342" t="s">
        <v>60</v>
      </c>
      <c r="E34" s="343">
        <v>4</v>
      </c>
      <c r="F34" s="344">
        <f>439.9/4</f>
        <v>109.97499999999999</v>
      </c>
      <c r="G34" s="344">
        <f>E34*F34</f>
        <v>439.9</v>
      </c>
      <c r="H34" s="344"/>
      <c r="I34" s="346">
        <f t="shared" si="5"/>
        <v>439.9</v>
      </c>
    </row>
    <row r="35" spans="1:9" s="347" customFormat="1" ht="14.25">
      <c r="A35" s="507"/>
      <c r="B35" s="508"/>
      <c r="C35" s="341" t="s">
        <v>943</v>
      </c>
      <c r="D35" s="342" t="s">
        <v>944</v>
      </c>
      <c r="E35" s="343">
        <v>1</v>
      </c>
      <c r="F35" s="344">
        <v>278</v>
      </c>
      <c r="G35" s="344">
        <f>E35*F35</f>
        <v>278</v>
      </c>
      <c r="H35" s="344"/>
      <c r="I35" s="346">
        <f t="shared" si="5"/>
        <v>278</v>
      </c>
    </row>
    <row r="36" spans="1:9" s="347" customFormat="1" ht="14.25">
      <c r="A36" s="507"/>
      <c r="B36" s="508"/>
      <c r="C36" s="341" t="s">
        <v>945</v>
      </c>
      <c r="D36" s="342" t="s">
        <v>946</v>
      </c>
      <c r="E36" s="343">
        <v>8</v>
      </c>
      <c r="F36" s="344">
        <v>36.476818083728766</v>
      </c>
      <c r="G36" s="344">
        <f>E36*F36</f>
        <v>291.81454466983013</v>
      </c>
      <c r="H36" s="344"/>
      <c r="I36" s="346">
        <f t="shared" si="5"/>
        <v>291.81454466983013</v>
      </c>
    </row>
    <row r="37" spans="1:9" s="347" customFormat="1" ht="14.25">
      <c r="A37" s="507"/>
      <c r="B37" s="508"/>
      <c r="C37" s="509"/>
      <c r="D37" s="510"/>
      <c r="E37" s="511"/>
      <c r="F37" s="512"/>
      <c r="G37" s="512"/>
      <c r="H37" s="513"/>
      <c r="I37" s="514"/>
    </row>
    <row r="38" spans="1:9" s="347" customFormat="1" ht="14.25">
      <c r="A38" s="507"/>
      <c r="B38" s="508"/>
      <c r="C38" s="509"/>
      <c r="D38" s="510"/>
      <c r="E38" s="511"/>
      <c r="F38" s="512"/>
      <c r="G38" s="512"/>
      <c r="H38" s="513"/>
      <c r="I38" s="514"/>
    </row>
    <row r="39" spans="1:9" s="347" customFormat="1" ht="14.25">
      <c r="A39" s="507"/>
      <c r="B39" s="508"/>
      <c r="C39" s="509"/>
      <c r="D39" s="510"/>
      <c r="E39" s="511"/>
      <c r="F39" s="512"/>
      <c r="G39" s="512"/>
      <c r="H39" s="513"/>
      <c r="I39" s="514"/>
    </row>
    <row r="40" spans="1:9" s="347" customFormat="1" ht="14.25">
      <c r="A40" s="507"/>
      <c r="B40" s="508"/>
      <c r="C40" s="509"/>
      <c r="D40" s="510"/>
      <c r="E40" s="511"/>
      <c r="F40" s="512"/>
      <c r="G40" s="512"/>
      <c r="H40" s="513"/>
      <c r="I40" s="514"/>
    </row>
    <row r="41" spans="1:9" s="347" customFormat="1" ht="14.25">
      <c r="A41" s="507"/>
      <c r="B41" s="508"/>
      <c r="C41" s="509"/>
      <c r="D41" s="510"/>
      <c r="E41" s="511"/>
      <c r="F41" s="512"/>
      <c r="G41" s="512"/>
      <c r="H41" s="513"/>
      <c r="I41" s="514"/>
    </row>
    <row r="42" spans="1:9" s="347" customFormat="1" ht="14.25">
      <c r="A42" s="507"/>
      <c r="B42" s="508"/>
      <c r="C42" s="509"/>
      <c r="D42" s="510"/>
      <c r="E42" s="511"/>
      <c r="F42" s="512"/>
      <c r="G42" s="512"/>
      <c r="H42" s="513"/>
      <c r="I42" s="514"/>
    </row>
    <row r="43" spans="1:9" s="347" customFormat="1" ht="14.25">
      <c r="A43" s="507"/>
      <c r="B43" s="508"/>
      <c r="C43" s="509"/>
      <c r="D43" s="510"/>
      <c r="E43" s="511"/>
      <c r="F43" s="512"/>
      <c r="G43" s="512"/>
      <c r="H43" s="513"/>
      <c r="I43" s="514"/>
    </row>
    <row r="44" spans="1:9" s="347" customFormat="1" ht="14.25">
      <c r="A44" s="507"/>
      <c r="B44" s="508"/>
      <c r="C44" s="509"/>
      <c r="D44" s="510"/>
      <c r="E44" s="511"/>
      <c r="F44" s="512"/>
      <c r="G44" s="512"/>
      <c r="H44" s="513"/>
      <c r="I44" s="514"/>
    </row>
    <row r="45" spans="1:9" s="347" customFormat="1" ht="14.25">
      <c r="A45" s="507"/>
      <c r="B45" s="508"/>
      <c r="C45" s="509"/>
      <c r="D45" s="510"/>
      <c r="E45" s="511"/>
      <c r="F45" s="512"/>
      <c r="G45" s="512"/>
      <c r="H45" s="513"/>
      <c r="I45" s="514"/>
    </row>
    <row r="46" spans="1:9" s="347" customFormat="1" ht="14.25">
      <c r="A46" s="507"/>
      <c r="B46" s="508"/>
      <c r="C46" s="509"/>
      <c r="D46" s="510"/>
      <c r="E46" s="511"/>
      <c r="F46" s="512"/>
      <c r="G46" s="512"/>
      <c r="H46" s="513"/>
      <c r="I46" s="514"/>
    </row>
    <row r="47" spans="1:9" s="328" customFormat="1" ht="14.25">
      <c r="A47" s="350"/>
      <c r="B47" s="350"/>
      <c r="C47" s="351"/>
      <c r="D47" s="352"/>
      <c r="E47" s="353"/>
      <c r="F47" s="354"/>
      <c r="G47" s="355"/>
      <c r="H47" s="355"/>
      <c r="I47" s="356"/>
    </row>
    <row r="48" spans="1:9" s="328" customFormat="1" ht="14.25" customHeight="1">
      <c r="A48" s="606" t="s">
        <v>667</v>
      </c>
      <c r="B48" s="606"/>
      <c r="C48" s="606"/>
      <c r="D48" s="606"/>
      <c r="E48" s="606"/>
      <c r="F48" s="606"/>
      <c r="G48" s="606"/>
      <c r="H48" s="606"/>
      <c r="I48" s="606"/>
    </row>
    <row r="49" spans="1:9" s="328" customFormat="1" ht="27.75" customHeight="1">
      <c r="A49" s="606" t="s">
        <v>668</v>
      </c>
      <c r="B49" s="606"/>
      <c r="C49" s="606"/>
      <c r="D49" s="606"/>
      <c r="E49" s="606"/>
      <c r="F49" s="606"/>
      <c r="G49" s="606"/>
      <c r="H49" s="606"/>
      <c r="I49" s="606"/>
    </row>
    <row r="50" spans="1:9" s="328" customFormat="1" ht="14.25">
      <c r="A50" s="357"/>
      <c r="B50" s="350"/>
      <c r="C50" s="351"/>
      <c r="D50" s="352"/>
      <c r="E50" s="353"/>
      <c r="F50" s="354"/>
      <c r="G50" s="355"/>
      <c r="H50" s="355"/>
      <c r="I50" s="356"/>
    </row>
  </sheetData>
  <mergeCells count="9">
    <mergeCell ref="G8:I8"/>
    <mergeCell ref="A48:I48"/>
    <mergeCell ref="A49:I49"/>
    <mergeCell ref="A8:A9"/>
    <mergeCell ref="B8:B9"/>
    <mergeCell ref="C8:C9"/>
    <mergeCell ref="D8:D9"/>
    <mergeCell ref="E8:E9"/>
    <mergeCell ref="F8:F9"/>
  </mergeCells>
  <phoneticPr fontId="71" type="noConversion"/>
  <conditionalFormatting sqref="B10">
    <cfRule type="cellIs" dxfId="7" priority="14" operator="equal">
      <formula>"INSERIR CÓDIGO!"</formula>
    </cfRule>
  </conditionalFormatting>
  <conditionalFormatting sqref="C10">
    <cfRule type="cellIs" dxfId="6" priority="13" operator="equal">
      <formula>"INSERIR CÓDIGO!"</formula>
    </cfRule>
  </conditionalFormatting>
  <conditionalFormatting sqref="B25">
    <cfRule type="cellIs" dxfId="5" priority="6" operator="equal">
      <formula>"INSERIR CÓDIGO!"</formula>
    </cfRule>
  </conditionalFormatting>
  <conditionalFormatting sqref="C25">
    <cfRule type="cellIs" dxfId="4" priority="5" operator="equal">
      <formula>"INSERIR CÓDIGO!"</formula>
    </cfRule>
  </conditionalFormatting>
  <conditionalFormatting sqref="B28">
    <cfRule type="cellIs" dxfId="3" priority="4" operator="equal">
      <formula>"INSERIR CÓDIGO!"</formula>
    </cfRule>
  </conditionalFormatting>
  <conditionalFormatting sqref="C28">
    <cfRule type="cellIs" dxfId="2" priority="3" operator="equal">
      <formula>"INSERIR CÓDIGO!"</formula>
    </cfRule>
  </conditionalFormatting>
  <conditionalFormatting sqref="B31">
    <cfRule type="cellIs" dxfId="1" priority="2" operator="equal">
      <formula>"INSERIR CÓDIGO!"</formula>
    </cfRule>
  </conditionalFormatting>
  <conditionalFormatting sqref="C31">
    <cfRule type="cellIs" dxfId="0" priority="1" operator="equal">
      <formula>"INSERIR CÓDIGO!"</formula>
    </cfRule>
  </conditionalFormatting>
  <printOptions horizontalCentered="1"/>
  <pageMargins left="0.39370078740157483" right="0.39370078740157483" top="1.1811023622047245" bottom="0.98425196850393704" header="0.98425196850393704" footer="0"/>
  <pageSetup paperSize="9" scale="64" fitToHeight="0" orientation="landscape" r:id="rId1"/>
  <headerFooter alignWithMargins="0">
    <oddFooter xml:space="preserve">&amp;CPÁGINA &amp;P DE &amp;N
&amp;RAssinatura
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917A0-5438-43AF-8D5A-E578A31ECD22}">
  <sheetPr>
    <tabColor rgb="FFFFFF00"/>
    <pageSetUpPr fitToPage="1"/>
  </sheetPr>
  <dimension ref="A1:S24"/>
  <sheetViews>
    <sheetView view="pageBreakPreview" zoomScaleNormal="100" zoomScaleSheetLayoutView="100" workbookViewId="0">
      <selection activeCell="C35" sqref="C35"/>
    </sheetView>
  </sheetViews>
  <sheetFormatPr defaultColWidth="10.42578125" defaultRowHeight="12.75"/>
  <cols>
    <col min="1" max="1" width="4.85546875" style="28" bestFit="1" customWidth="1"/>
    <col min="2" max="2" width="7.28515625" style="28" bestFit="1" customWidth="1"/>
    <col min="3" max="3" width="60.7109375" style="29" customWidth="1"/>
    <col min="4" max="4" width="5" style="30" bestFit="1" customWidth="1"/>
    <col min="5" max="5" width="9.85546875" style="102" bestFit="1" customWidth="1"/>
    <col min="6" max="6" width="12.140625" style="102" bestFit="1" customWidth="1"/>
    <col min="7" max="7" width="13.28515625" style="102" bestFit="1" customWidth="1"/>
    <col min="8" max="10" width="12.140625" style="102" bestFit="1" customWidth="1"/>
    <col min="11" max="11" width="13.28515625" style="31" bestFit="1" customWidth="1"/>
    <col min="12" max="12" width="4.42578125" style="5" customWidth="1"/>
    <col min="13" max="13" width="17" style="364" bestFit="1" customWidth="1"/>
    <col min="14" max="14" width="13.5703125" style="5" bestFit="1" customWidth="1"/>
    <col min="15" max="15" width="12.42578125" style="5" bestFit="1" customWidth="1"/>
    <col min="16" max="16384" width="10.42578125" style="5"/>
  </cols>
  <sheetData>
    <row r="1" spans="1:19" ht="12" customHeight="1">
      <c r="A1" s="9"/>
      <c r="B1" s="9"/>
      <c r="C1" s="10"/>
      <c r="D1" s="11"/>
      <c r="E1" s="96"/>
      <c r="F1" s="96"/>
      <c r="G1" s="96"/>
      <c r="H1" s="96"/>
      <c r="I1" s="96"/>
      <c r="J1" s="96"/>
      <c r="K1" s="6"/>
    </row>
    <row r="2" spans="1:19" ht="15.75" customHeight="1">
      <c r="A2" s="550" t="s">
        <v>489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</row>
    <row r="3" spans="1:19" ht="6.75" customHeight="1">
      <c r="A3" s="428"/>
      <c r="B3" s="428"/>
      <c r="C3" s="14"/>
      <c r="D3" s="15"/>
      <c r="E3" s="97"/>
      <c r="F3" s="97"/>
      <c r="G3" s="97"/>
      <c r="H3" s="97"/>
      <c r="I3" s="97"/>
      <c r="J3" s="97"/>
      <c r="K3" s="16"/>
    </row>
    <row r="4" spans="1:19" ht="15.75">
      <c r="A4" s="551" t="s">
        <v>793</v>
      </c>
      <c r="B4" s="551"/>
      <c r="C4" s="551"/>
      <c r="D4" s="551"/>
      <c r="E4" s="551"/>
      <c r="F4" s="551"/>
      <c r="G4" s="551"/>
      <c r="H4" s="551"/>
      <c r="I4" s="551"/>
      <c r="J4" s="551"/>
      <c r="K4" s="551"/>
    </row>
    <row r="5" spans="1:19" s="275" customFormat="1" ht="15">
      <c r="A5" s="267" t="s">
        <v>527</v>
      </c>
      <c r="B5" s="268"/>
      <c r="C5" s="269"/>
      <c r="D5" s="270"/>
      <c r="E5" s="271"/>
      <c r="F5" s="272"/>
      <c r="G5" s="273"/>
      <c r="H5" s="272"/>
      <c r="I5" s="272"/>
      <c r="J5" s="272"/>
      <c r="K5" s="272"/>
      <c r="M5" s="365"/>
    </row>
    <row r="6" spans="1:19" s="275" customFormat="1" ht="15">
      <c r="A6" s="267" t="s">
        <v>532</v>
      </c>
      <c r="B6" s="268"/>
      <c r="C6" s="269"/>
      <c r="D6" s="270"/>
      <c r="E6" s="271"/>
      <c r="F6" s="272"/>
      <c r="G6" s="273"/>
      <c r="H6" s="272"/>
      <c r="I6" s="272"/>
      <c r="J6" s="272"/>
      <c r="K6" s="272"/>
      <c r="M6" s="365"/>
    </row>
    <row r="7" spans="1:19" s="275" customFormat="1" ht="15">
      <c r="A7" s="267" t="s">
        <v>531</v>
      </c>
      <c r="B7" s="268"/>
      <c r="C7" s="269"/>
      <c r="D7" s="270"/>
      <c r="E7" s="271"/>
      <c r="F7" s="272"/>
      <c r="G7" s="273"/>
      <c r="H7" s="272"/>
      <c r="I7" s="272"/>
      <c r="J7" s="272"/>
      <c r="K7" s="272"/>
      <c r="M7" s="365"/>
    </row>
    <row r="8" spans="1:19" ht="25.5">
      <c r="A8" s="2" t="s">
        <v>202</v>
      </c>
      <c r="B8" s="2" t="s">
        <v>203</v>
      </c>
      <c r="C8" s="3" t="s">
        <v>204</v>
      </c>
      <c r="D8" s="3" t="s">
        <v>205</v>
      </c>
      <c r="E8" s="98" t="s">
        <v>206</v>
      </c>
      <c r="F8" s="98" t="s">
        <v>493</v>
      </c>
      <c r="G8" s="98" t="s">
        <v>494</v>
      </c>
      <c r="H8" s="98" t="s">
        <v>491</v>
      </c>
      <c r="I8" s="98" t="s">
        <v>495</v>
      </c>
      <c r="J8" s="98" t="s">
        <v>496</v>
      </c>
      <c r="K8" s="4" t="s">
        <v>497</v>
      </c>
    </row>
    <row r="9" spans="1:19" s="63" customFormat="1">
      <c r="A9" s="64"/>
      <c r="B9" s="64"/>
      <c r="C9" s="65"/>
      <c r="D9" s="65"/>
      <c r="E9" s="99"/>
      <c r="F9" s="99"/>
      <c r="G9" s="99"/>
      <c r="H9" s="99"/>
      <c r="I9" s="99"/>
      <c r="J9" s="99"/>
      <c r="K9" s="66"/>
      <c r="M9" s="366"/>
    </row>
    <row r="10" spans="1:19" s="19" customFormat="1" ht="15" customHeight="1">
      <c r="A10" s="380">
        <v>1</v>
      </c>
      <c r="B10" s="380"/>
      <c r="C10" s="381" t="s">
        <v>431</v>
      </c>
      <c r="D10" s="382" t="s">
        <v>41</v>
      </c>
      <c r="E10" s="383"/>
      <c r="F10" s="383"/>
      <c r="G10" s="383"/>
      <c r="H10" s="383"/>
      <c r="I10" s="383"/>
      <c r="J10" s="383"/>
      <c r="K10" s="384" t="s">
        <v>41</v>
      </c>
      <c r="M10" s="367"/>
      <c r="N10" s="263"/>
      <c r="O10" s="33"/>
      <c r="P10" s="33"/>
      <c r="Q10" s="33"/>
      <c r="R10" s="33"/>
      <c r="S10" s="33"/>
    </row>
    <row r="11" spans="1:19" s="19" customFormat="1" ht="12.75" customHeight="1">
      <c r="A11" s="24"/>
      <c r="B11" s="24" t="s">
        <v>51</v>
      </c>
      <c r="C11" s="25" t="s">
        <v>794</v>
      </c>
      <c r="D11" s="26" t="s">
        <v>659</v>
      </c>
      <c r="E11" s="100">
        <v>1</v>
      </c>
      <c r="F11" s="370">
        <f>Infraestrutura!F29</f>
        <v>675.94799999999987</v>
      </c>
      <c r="G11" s="370">
        <f>Infraestrutura!G29</f>
        <v>450.63200000000001</v>
      </c>
      <c r="H11" s="370">
        <f t="shared" ref="H11:H14" si="0">F11+G11</f>
        <v>1126.58</v>
      </c>
      <c r="I11" s="370">
        <f>E11*F11</f>
        <v>675.94799999999987</v>
      </c>
      <c r="J11" s="370">
        <f>E11*G11</f>
        <v>450.63200000000001</v>
      </c>
      <c r="K11" s="371">
        <f>H11*E11</f>
        <v>1126.58</v>
      </c>
      <c r="M11" s="410"/>
      <c r="N11" s="39"/>
      <c r="P11" s="33"/>
      <c r="Q11" s="33"/>
      <c r="R11" s="33"/>
      <c r="S11" s="33"/>
    </row>
    <row r="12" spans="1:19" s="19" customFormat="1" ht="12.75" customHeight="1">
      <c r="A12" s="24"/>
      <c r="B12" s="24" t="s">
        <v>52</v>
      </c>
      <c r="C12" s="25" t="s">
        <v>795</v>
      </c>
      <c r="D12" s="26" t="s">
        <v>659</v>
      </c>
      <c r="E12" s="100">
        <v>1</v>
      </c>
      <c r="F12" s="370">
        <v>1461.15</v>
      </c>
      <c r="G12" s="370">
        <v>974.1</v>
      </c>
      <c r="H12" s="370">
        <f t="shared" si="0"/>
        <v>2435.25</v>
      </c>
      <c r="I12" s="370">
        <f>E12*F12</f>
        <v>1461.15</v>
      </c>
      <c r="J12" s="370">
        <f>E12*G12</f>
        <v>974.1</v>
      </c>
      <c r="K12" s="371">
        <f>H12*E12</f>
        <v>2435.25</v>
      </c>
      <c r="M12" s="410"/>
      <c r="N12" s="39"/>
      <c r="P12" s="33"/>
      <c r="Q12" s="33"/>
      <c r="R12" s="33"/>
      <c r="S12" s="33"/>
    </row>
    <row r="13" spans="1:19" s="19" customFormat="1" ht="12.75" customHeight="1">
      <c r="A13" s="24"/>
      <c r="B13" s="24" t="s">
        <v>53</v>
      </c>
      <c r="C13" s="25" t="s">
        <v>796</v>
      </c>
      <c r="D13" s="26" t="s">
        <v>661</v>
      </c>
      <c r="E13" s="100">
        <v>91.81</v>
      </c>
      <c r="F13" s="370">
        <f>Infraestrutura!F28</f>
        <v>111.89646116765334</v>
      </c>
      <c r="G13" s="370">
        <f>Infraestrutura!G28</f>
        <v>43.968609999999998</v>
      </c>
      <c r="H13" s="370">
        <f t="shared" si="0"/>
        <v>155.86507116765335</v>
      </c>
      <c r="I13" s="370">
        <f>E13*F13</f>
        <v>10273.214099802253</v>
      </c>
      <c r="J13" s="370">
        <f>E13*G13</f>
        <v>4036.7580840999999</v>
      </c>
      <c r="K13" s="371">
        <f>H13*E13</f>
        <v>14309.972183902255</v>
      </c>
      <c r="M13" s="410"/>
      <c r="N13" s="39"/>
      <c r="P13" s="33"/>
      <c r="Q13" s="33"/>
      <c r="R13" s="33"/>
      <c r="S13" s="33"/>
    </row>
    <row r="14" spans="1:19" s="19" customFormat="1" ht="12.75" customHeight="1">
      <c r="A14" s="24"/>
      <c r="B14" s="24" t="s">
        <v>167</v>
      </c>
      <c r="C14" s="25" t="s">
        <v>797</v>
      </c>
      <c r="D14" s="26" t="s">
        <v>801</v>
      </c>
      <c r="E14" s="100">
        <f>E13*0.5*1.1</f>
        <v>50.495500000000007</v>
      </c>
      <c r="F14" s="370">
        <f>Infraestrutura!F32+Infraestrutura!F33</f>
        <v>23.83</v>
      </c>
      <c r="G14" s="370">
        <f>Infraestrutura!G32+Infraestrutura!G33</f>
        <v>46.39</v>
      </c>
      <c r="H14" s="370">
        <f t="shared" si="0"/>
        <v>70.22</v>
      </c>
      <c r="I14" s="370">
        <f>E14*F14</f>
        <v>1203.307765</v>
      </c>
      <c r="J14" s="370">
        <f>E14*G14</f>
        <v>2342.4862450000005</v>
      </c>
      <c r="K14" s="371">
        <f>H14*E14</f>
        <v>3545.7940100000005</v>
      </c>
      <c r="M14" s="410"/>
      <c r="N14" s="39"/>
      <c r="P14" s="33"/>
      <c r="Q14" s="33"/>
      <c r="R14" s="33"/>
      <c r="S14" s="33"/>
    </row>
    <row r="15" spans="1:19" s="19" customFormat="1" ht="12.75" customHeight="1">
      <c r="A15" s="380">
        <v>2</v>
      </c>
      <c r="B15" s="380"/>
      <c r="C15" s="381" t="s">
        <v>522</v>
      </c>
      <c r="D15" s="382"/>
      <c r="E15" s="383"/>
      <c r="F15" s="383"/>
      <c r="G15" s="383"/>
      <c r="H15" s="383"/>
      <c r="I15" s="383"/>
      <c r="J15" s="383"/>
      <c r="K15" s="384"/>
      <c r="M15" s="410"/>
      <c r="P15" s="33"/>
      <c r="Q15" s="33"/>
      <c r="R15" s="33"/>
      <c r="S15" s="33"/>
    </row>
    <row r="16" spans="1:19" s="19" customFormat="1" ht="12.75" customHeight="1">
      <c r="A16" s="24"/>
      <c r="B16" s="24" t="s">
        <v>1</v>
      </c>
      <c r="C16" s="25" t="s">
        <v>800</v>
      </c>
      <c r="D16" s="26" t="s">
        <v>190</v>
      </c>
      <c r="E16" s="100">
        <v>1</v>
      </c>
      <c r="F16" s="370"/>
      <c r="G16" s="370"/>
      <c r="H16" s="370">
        <v>46562.23</v>
      </c>
      <c r="I16" s="370">
        <f>E16*F16</f>
        <v>0</v>
      </c>
      <c r="J16" s="370">
        <f>E16*G16</f>
        <v>0</v>
      </c>
      <c r="K16" s="371">
        <f>H16*E16</f>
        <v>46562.23</v>
      </c>
      <c r="M16" s="410"/>
      <c r="N16" s="39"/>
      <c r="P16" s="33"/>
      <c r="Q16" s="33"/>
      <c r="R16" s="33"/>
      <c r="S16" s="33"/>
    </row>
    <row r="17" spans="1:19" s="19" customFormat="1" ht="12.75" customHeight="1">
      <c r="A17" s="380">
        <v>3</v>
      </c>
      <c r="B17" s="380"/>
      <c r="C17" s="381" t="s">
        <v>798</v>
      </c>
      <c r="D17" s="382"/>
      <c r="E17" s="383"/>
      <c r="F17" s="383"/>
      <c r="G17" s="383"/>
      <c r="H17" s="383"/>
      <c r="I17" s="383"/>
      <c r="J17" s="383"/>
      <c r="K17" s="384"/>
      <c r="M17" s="410"/>
      <c r="P17" s="33"/>
      <c r="Q17" s="33"/>
      <c r="R17" s="33"/>
      <c r="S17" s="33"/>
    </row>
    <row r="18" spans="1:19" s="19" customFormat="1" ht="12.75" customHeight="1" thickBot="1">
      <c r="A18" s="24"/>
      <c r="B18" s="24" t="s">
        <v>3</v>
      </c>
      <c r="C18" s="25" t="s">
        <v>799</v>
      </c>
      <c r="D18" s="26" t="s">
        <v>190</v>
      </c>
      <c r="E18" s="100">
        <v>1</v>
      </c>
      <c r="F18" s="370"/>
      <c r="G18" s="370"/>
      <c r="H18" s="370">
        <v>13365.65</v>
      </c>
      <c r="I18" s="370">
        <f>E18*F18</f>
        <v>0</v>
      </c>
      <c r="J18" s="370">
        <f>E18*G18</f>
        <v>0</v>
      </c>
      <c r="K18" s="371">
        <f>H18*E18</f>
        <v>13365.65</v>
      </c>
      <c r="M18" s="410"/>
      <c r="N18" s="39"/>
      <c r="P18" s="33"/>
      <c r="Q18" s="33"/>
      <c r="R18" s="33"/>
      <c r="S18" s="33"/>
    </row>
    <row r="19" spans="1:19" ht="12.75" customHeight="1" thickBot="1">
      <c r="A19" s="607" t="s">
        <v>45</v>
      </c>
      <c r="B19" s="608"/>
      <c r="C19" s="608"/>
      <c r="D19" s="608"/>
      <c r="E19" s="608"/>
      <c r="F19" s="608"/>
      <c r="G19" s="608"/>
      <c r="H19" s="608"/>
      <c r="I19" s="608"/>
      <c r="J19" s="608"/>
      <c r="K19" s="483">
        <f>SUM(K11:K18)</f>
        <v>81345.476193902257</v>
      </c>
      <c r="M19" s="237"/>
      <c r="N19" s="39"/>
    </row>
    <row r="20" spans="1:19">
      <c r="A20" s="431"/>
      <c r="B20" s="431"/>
      <c r="C20" s="431"/>
      <c r="D20" s="431"/>
      <c r="E20" s="101"/>
      <c r="F20" s="101"/>
      <c r="G20" s="101"/>
      <c r="H20" s="101"/>
      <c r="I20" s="431" t="s">
        <v>178</v>
      </c>
      <c r="J20" s="431"/>
      <c r="K20" s="431"/>
    </row>
    <row r="21" spans="1:19">
      <c r="A21" s="431"/>
      <c r="B21" s="431"/>
      <c r="C21" s="431" t="s">
        <v>938</v>
      </c>
      <c r="I21" s="430" t="s">
        <v>790</v>
      </c>
      <c r="J21" s="430"/>
      <c r="K21" s="430"/>
    </row>
    <row r="22" spans="1:19">
      <c r="I22" s="430" t="s">
        <v>791</v>
      </c>
      <c r="J22" s="430"/>
      <c r="K22" s="430"/>
    </row>
    <row r="23" spans="1:19">
      <c r="I23" s="430" t="s">
        <v>177</v>
      </c>
      <c r="J23" s="430"/>
      <c r="K23" s="430"/>
    </row>
    <row r="24" spans="1:19">
      <c r="I24" s="557" t="s">
        <v>792</v>
      </c>
      <c r="J24" s="557"/>
      <c r="K24" s="557"/>
    </row>
  </sheetData>
  <mergeCells count="4">
    <mergeCell ref="I24:K24"/>
    <mergeCell ref="A19:J19"/>
    <mergeCell ref="A2:K2"/>
    <mergeCell ref="A4:K4"/>
  </mergeCells>
  <pageMargins left="0.511811024" right="0.511811024" top="0.78740157499999996" bottom="0.78740157499999996" header="0.31496062000000002" footer="0.31496062000000002"/>
  <pageSetup paperSize="9" scale="84" orientation="landscape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CEE8-C754-465F-AC31-16D4A7C69200}">
  <sheetPr>
    <tabColor theme="6" tint="0.79998168889431442"/>
    <pageSetUpPr fitToPage="1"/>
  </sheetPr>
  <dimension ref="A1:N42"/>
  <sheetViews>
    <sheetView view="pageBreakPreview" topLeftCell="A7" zoomScale="110" zoomScaleNormal="115" zoomScaleSheetLayoutView="110" workbookViewId="0">
      <selection activeCell="C23" sqref="C23"/>
    </sheetView>
  </sheetViews>
  <sheetFormatPr defaultRowHeight="12.75"/>
  <cols>
    <col min="1" max="1" width="13.140625" style="282" customWidth="1"/>
    <col min="2" max="2" width="47.85546875" style="282" customWidth="1"/>
    <col min="3" max="3" width="17.5703125" style="282" customWidth="1"/>
    <col min="4" max="4" width="5.28515625" style="282" customWidth="1"/>
    <col min="5" max="5" width="13.5703125" style="282" customWidth="1"/>
    <col min="6" max="8" width="12.85546875" style="282" customWidth="1"/>
    <col min="9" max="9" width="12.140625" style="282" customWidth="1"/>
    <col min="10" max="256" width="9.140625" style="282"/>
    <col min="257" max="257" width="13.140625" style="282" customWidth="1"/>
    <col min="258" max="258" width="47.85546875" style="282" customWidth="1"/>
    <col min="259" max="259" width="17.5703125" style="282" customWidth="1"/>
    <col min="260" max="260" width="5.28515625" style="282" customWidth="1"/>
    <col min="261" max="261" width="13.5703125" style="282" customWidth="1"/>
    <col min="262" max="264" width="12.85546875" style="282" customWidth="1"/>
    <col min="265" max="265" width="12.140625" style="282" customWidth="1"/>
    <col min="266" max="512" width="9.140625" style="282"/>
    <col min="513" max="513" width="13.140625" style="282" customWidth="1"/>
    <col min="514" max="514" width="47.85546875" style="282" customWidth="1"/>
    <col min="515" max="515" width="17.5703125" style="282" customWidth="1"/>
    <col min="516" max="516" width="5.28515625" style="282" customWidth="1"/>
    <col min="517" max="517" width="13.5703125" style="282" customWidth="1"/>
    <col min="518" max="520" width="12.85546875" style="282" customWidth="1"/>
    <col min="521" max="521" width="12.140625" style="282" customWidth="1"/>
    <col min="522" max="768" width="9.140625" style="282"/>
    <col min="769" max="769" width="13.140625" style="282" customWidth="1"/>
    <col min="770" max="770" width="47.85546875" style="282" customWidth="1"/>
    <col min="771" max="771" width="17.5703125" style="282" customWidth="1"/>
    <col min="772" max="772" width="5.28515625" style="282" customWidth="1"/>
    <col min="773" max="773" width="13.5703125" style="282" customWidth="1"/>
    <col min="774" max="776" width="12.85546875" style="282" customWidth="1"/>
    <col min="777" max="777" width="12.140625" style="282" customWidth="1"/>
    <col min="778" max="1024" width="9.140625" style="282"/>
    <col min="1025" max="1025" width="13.140625" style="282" customWidth="1"/>
    <col min="1026" max="1026" width="47.85546875" style="282" customWidth="1"/>
    <col min="1027" max="1027" width="17.5703125" style="282" customWidth="1"/>
    <col min="1028" max="1028" width="5.28515625" style="282" customWidth="1"/>
    <col min="1029" max="1029" width="13.5703125" style="282" customWidth="1"/>
    <col min="1030" max="1032" width="12.85546875" style="282" customWidth="1"/>
    <col min="1033" max="1033" width="12.140625" style="282" customWidth="1"/>
    <col min="1034" max="1280" width="9.140625" style="282"/>
    <col min="1281" max="1281" width="13.140625" style="282" customWidth="1"/>
    <col min="1282" max="1282" width="47.85546875" style="282" customWidth="1"/>
    <col min="1283" max="1283" width="17.5703125" style="282" customWidth="1"/>
    <col min="1284" max="1284" width="5.28515625" style="282" customWidth="1"/>
    <col min="1285" max="1285" width="13.5703125" style="282" customWidth="1"/>
    <col min="1286" max="1288" width="12.85546875" style="282" customWidth="1"/>
    <col min="1289" max="1289" width="12.140625" style="282" customWidth="1"/>
    <col min="1290" max="1536" width="9.140625" style="282"/>
    <col min="1537" max="1537" width="13.140625" style="282" customWidth="1"/>
    <col min="1538" max="1538" width="47.85546875" style="282" customWidth="1"/>
    <col min="1539" max="1539" width="17.5703125" style="282" customWidth="1"/>
    <col min="1540" max="1540" width="5.28515625" style="282" customWidth="1"/>
    <col min="1541" max="1541" width="13.5703125" style="282" customWidth="1"/>
    <col min="1542" max="1544" width="12.85546875" style="282" customWidth="1"/>
    <col min="1545" max="1545" width="12.140625" style="282" customWidth="1"/>
    <col min="1546" max="1792" width="9.140625" style="282"/>
    <col min="1793" max="1793" width="13.140625" style="282" customWidth="1"/>
    <col min="1794" max="1794" width="47.85546875" style="282" customWidth="1"/>
    <col min="1795" max="1795" width="17.5703125" style="282" customWidth="1"/>
    <col min="1796" max="1796" width="5.28515625" style="282" customWidth="1"/>
    <col min="1797" max="1797" width="13.5703125" style="282" customWidth="1"/>
    <col min="1798" max="1800" width="12.85546875" style="282" customWidth="1"/>
    <col min="1801" max="1801" width="12.140625" style="282" customWidth="1"/>
    <col min="1802" max="2048" width="9.140625" style="282"/>
    <col min="2049" max="2049" width="13.140625" style="282" customWidth="1"/>
    <col min="2050" max="2050" width="47.85546875" style="282" customWidth="1"/>
    <col min="2051" max="2051" width="17.5703125" style="282" customWidth="1"/>
    <col min="2052" max="2052" width="5.28515625" style="282" customWidth="1"/>
    <col min="2053" max="2053" width="13.5703125" style="282" customWidth="1"/>
    <col min="2054" max="2056" width="12.85546875" style="282" customWidth="1"/>
    <col min="2057" max="2057" width="12.140625" style="282" customWidth="1"/>
    <col min="2058" max="2304" width="9.140625" style="282"/>
    <col min="2305" max="2305" width="13.140625" style="282" customWidth="1"/>
    <col min="2306" max="2306" width="47.85546875" style="282" customWidth="1"/>
    <col min="2307" max="2307" width="17.5703125" style="282" customWidth="1"/>
    <col min="2308" max="2308" width="5.28515625" style="282" customWidth="1"/>
    <col min="2309" max="2309" width="13.5703125" style="282" customWidth="1"/>
    <col min="2310" max="2312" width="12.85546875" style="282" customWidth="1"/>
    <col min="2313" max="2313" width="12.140625" style="282" customWidth="1"/>
    <col min="2314" max="2560" width="9.140625" style="282"/>
    <col min="2561" max="2561" width="13.140625" style="282" customWidth="1"/>
    <col min="2562" max="2562" width="47.85546875" style="282" customWidth="1"/>
    <col min="2563" max="2563" width="17.5703125" style="282" customWidth="1"/>
    <col min="2564" max="2564" width="5.28515625" style="282" customWidth="1"/>
    <col min="2565" max="2565" width="13.5703125" style="282" customWidth="1"/>
    <col min="2566" max="2568" width="12.85546875" style="282" customWidth="1"/>
    <col min="2569" max="2569" width="12.140625" style="282" customWidth="1"/>
    <col min="2570" max="2816" width="9.140625" style="282"/>
    <col min="2817" max="2817" width="13.140625" style="282" customWidth="1"/>
    <col min="2818" max="2818" width="47.85546875" style="282" customWidth="1"/>
    <col min="2819" max="2819" width="17.5703125" style="282" customWidth="1"/>
    <col min="2820" max="2820" width="5.28515625" style="282" customWidth="1"/>
    <col min="2821" max="2821" width="13.5703125" style="282" customWidth="1"/>
    <col min="2822" max="2824" width="12.85546875" style="282" customWidth="1"/>
    <col min="2825" max="2825" width="12.140625" style="282" customWidth="1"/>
    <col min="2826" max="3072" width="9.140625" style="282"/>
    <col min="3073" max="3073" width="13.140625" style="282" customWidth="1"/>
    <col min="3074" max="3074" width="47.85546875" style="282" customWidth="1"/>
    <col min="3075" max="3075" width="17.5703125" style="282" customWidth="1"/>
    <col min="3076" max="3076" width="5.28515625" style="282" customWidth="1"/>
    <col min="3077" max="3077" width="13.5703125" style="282" customWidth="1"/>
    <col min="3078" max="3080" width="12.85546875" style="282" customWidth="1"/>
    <col min="3081" max="3081" width="12.140625" style="282" customWidth="1"/>
    <col min="3082" max="3328" width="9.140625" style="282"/>
    <col min="3329" max="3329" width="13.140625" style="282" customWidth="1"/>
    <col min="3330" max="3330" width="47.85546875" style="282" customWidth="1"/>
    <col min="3331" max="3331" width="17.5703125" style="282" customWidth="1"/>
    <col min="3332" max="3332" width="5.28515625" style="282" customWidth="1"/>
    <col min="3333" max="3333" width="13.5703125" style="282" customWidth="1"/>
    <col min="3334" max="3336" width="12.85546875" style="282" customWidth="1"/>
    <col min="3337" max="3337" width="12.140625" style="282" customWidth="1"/>
    <col min="3338" max="3584" width="9.140625" style="282"/>
    <col min="3585" max="3585" width="13.140625" style="282" customWidth="1"/>
    <col min="3586" max="3586" width="47.85546875" style="282" customWidth="1"/>
    <col min="3587" max="3587" width="17.5703125" style="282" customWidth="1"/>
    <col min="3588" max="3588" width="5.28515625" style="282" customWidth="1"/>
    <col min="3589" max="3589" width="13.5703125" style="282" customWidth="1"/>
    <col min="3590" max="3592" width="12.85546875" style="282" customWidth="1"/>
    <col min="3593" max="3593" width="12.140625" style="282" customWidth="1"/>
    <col min="3594" max="3840" width="9.140625" style="282"/>
    <col min="3841" max="3841" width="13.140625" style="282" customWidth="1"/>
    <col min="3842" max="3842" width="47.85546875" style="282" customWidth="1"/>
    <col min="3843" max="3843" width="17.5703125" style="282" customWidth="1"/>
    <col min="3844" max="3844" width="5.28515625" style="282" customWidth="1"/>
    <col min="3845" max="3845" width="13.5703125" style="282" customWidth="1"/>
    <col min="3846" max="3848" width="12.85546875" style="282" customWidth="1"/>
    <col min="3849" max="3849" width="12.140625" style="282" customWidth="1"/>
    <col min="3850" max="4096" width="9.140625" style="282"/>
    <col min="4097" max="4097" width="13.140625" style="282" customWidth="1"/>
    <col min="4098" max="4098" width="47.85546875" style="282" customWidth="1"/>
    <col min="4099" max="4099" width="17.5703125" style="282" customWidth="1"/>
    <col min="4100" max="4100" width="5.28515625" style="282" customWidth="1"/>
    <col min="4101" max="4101" width="13.5703125" style="282" customWidth="1"/>
    <col min="4102" max="4104" width="12.85546875" style="282" customWidth="1"/>
    <col min="4105" max="4105" width="12.140625" style="282" customWidth="1"/>
    <col min="4106" max="4352" width="9.140625" style="282"/>
    <col min="4353" max="4353" width="13.140625" style="282" customWidth="1"/>
    <col min="4354" max="4354" width="47.85546875" style="282" customWidth="1"/>
    <col min="4355" max="4355" width="17.5703125" style="282" customWidth="1"/>
    <col min="4356" max="4356" width="5.28515625" style="282" customWidth="1"/>
    <col min="4357" max="4357" width="13.5703125" style="282" customWidth="1"/>
    <col min="4358" max="4360" width="12.85546875" style="282" customWidth="1"/>
    <col min="4361" max="4361" width="12.140625" style="282" customWidth="1"/>
    <col min="4362" max="4608" width="9.140625" style="282"/>
    <col min="4609" max="4609" width="13.140625" style="282" customWidth="1"/>
    <col min="4610" max="4610" width="47.85546875" style="282" customWidth="1"/>
    <col min="4611" max="4611" width="17.5703125" style="282" customWidth="1"/>
    <col min="4612" max="4612" width="5.28515625" style="282" customWidth="1"/>
    <col min="4613" max="4613" width="13.5703125" style="282" customWidth="1"/>
    <col min="4614" max="4616" width="12.85546875" style="282" customWidth="1"/>
    <col min="4617" max="4617" width="12.140625" style="282" customWidth="1"/>
    <col min="4618" max="4864" width="9.140625" style="282"/>
    <col min="4865" max="4865" width="13.140625" style="282" customWidth="1"/>
    <col min="4866" max="4866" width="47.85546875" style="282" customWidth="1"/>
    <col min="4867" max="4867" width="17.5703125" style="282" customWidth="1"/>
    <col min="4868" max="4868" width="5.28515625" style="282" customWidth="1"/>
    <col min="4869" max="4869" width="13.5703125" style="282" customWidth="1"/>
    <col min="4870" max="4872" width="12.85546875" style="282" customWidth="1"/>
    <col min="4873" max="4873" width="12.140625" style="282" customWidth="1"/>
    <col min="4874" max="5120" width="9.140625" style="282"/>
    <col min="5121" max="5121" width="13.140625" style="282" customWidth="1"/>
    <col min="5122" max="5122" width="47.85546875" style="282" customWidth="1"/>
    <col min="5123" max="5123" width="17.5703125" style="282" customWidth="1"/>
    <col min="5124" max="5124" width="5.28515625" style="282" customWidth="1"/>
    <col min="5125" max="5125" width="13.5703125" style="282" customWidth="1"/>
    <col min="5126" max="5128" width="12.85546875" style="282" customWidth="1"/>
    <col min="5129" max="5129" width="12.140625" style="282" customWidth="1"/>
    <col min="5130" max="5376" width="9.140625" style="282"/>
    <col min="5377" max="5377" width="13.140625" style="282" customWidth="1"/>
    <col min="5378" max="5378" width="47.85546875" style="282" customWidth="1"/>
    <col min="5379" max="5379" width="17.5703125" style="282" customWidth="1"/>
    <col min="5380" max="5380" width="5.28515625" style="282" customWidth="1"/>
    <col min="5381" max="5381" width="13.5703125" style="282" customWidth="1"/>
    <col min="5382" max="5384" width="12.85546875" style="282" customWidth="1"/>
    <col min="5385" max="5385" width="12.140625" style="282" customWidth="1"/>
    <col min="5386" max="5632" width="9.140625" style="282"/>
    <col min="5633" max="5633" width="13.140625" style="282" customWidth="1"/>
    <col min="5634" max="5634" width="47.85546875" style="282" customWidth="1"/>
    <col min="5635" max="5635" width="17.5703125" style="282" customWidth="1"/>
    <col min="5636" max="5636" width="5.28515625" style="282" customWidth="1"/>
    <col min="5637" max="5637" width="13.5703125" style="282" customWidth="1"/>
    <col min="5638" max="5640" width="12.85546875" style="282" customWidth="1"/>
    <col min="5641" max="5641" width="12.140625" style="282" customWidth="1"/>
    <col min="5642" max="5888" width="9.140625" style="282"/>
    <col min="5889" max="5889" width="13.140625" style="282" customWidth="1"/>
    <col min="5890" max="5890" width="47.85546875" style="282" customWidth="1"/>
    <col min="5891" max="5891" width="17.5703125" style="282" customWidth="1"/>
    <col min="5892" max="5892" width="5.28515625" style="282" customWidth="1"/>
    <col min="5893" max="5893" width="13.5703125" style="282" customWidth="1"/>
    <col min="5894" max="5896" width="12.85546875" style="282" customWidth="1"/>
    <col min="5897" max="5897" width="12.140625" style="282" customWidth="1"/>
    <col min="5898" max="6144" width="9.140625" style="282"/>
    <col min="6145" max="6145" width="13.140625" style="282" customWidth="1"/>
    <col min="6146" max="6146" width="47.85546875" style="282" customWidth="1"/>
    <col min="6147" max="6147" width="17.5703125" style="282" customWidth="1"/>
    <col min="6148" max="6148" width="5.28515625" style="282" customWidth="1"/>
    <col min="6149" max="6149" width="13.5703125" style="282" customWidth="1"/>
    <col min="6150" max="6152" width="12.85546875" style="282" customWidth="1"/>
    <col min="6153" max="6153" width="12.140625" style="282" customWidth="1"/>
    <col min="6154" max="6400" width="9.140625" style="282"/>
    <col min="6401" max="6401" width="13.140625" style="282" customWidth="1"/>
    <col min="6402" max="6402" width="47.85546875" style="282" customWidth="1"/>
    <col min="6403" max="6403" width="17.5703125" style="282" customWidth="1"/>
    <col min="6404" max="6404" width="5.28515625" style="282" customWidth="1"/>
    <col min="6405" max="6405" width="13.5703125" style="282" customWidth="1"/>
    <col min="6406" max="6408" width="12.85546875" style="282" customWidth="1"/>
    <col min="6409" max="6409" width="12.140625" style="282" customWidth="1"/>
    <col min="6410" max="6656" width="9.140625" style="282"/>
    <col min="6657" max="6657" width="13.140625" style="282" customWidth="1"/>
    <col min="6658" max="6658" width="47.85546875" style="282" customWidth="1"/>
    <col min="6659" max="6659" width="17.5703125" style="282" customWidth="1"/>
    <col min="6660" max="6660" width="5.28515625" style="282" customWidth="1"/>
    <col min="6661" max="6661" width="13.5703125" style="282" customWidth="1"/>
    <col min="6662" max="6664" width="12.85546875" style="282" customWidth="1"/>
    <col min="6665" max="6665" width="12.140625" style="282" customWidth="1"/>
    <col min="6666" max="6912" width="9.140625" style="282"/>
    <col min="6913" max="6913" width="13.140625" style="282" customWidth="1"/>
    <col min="6914" max="6914" width="47.85546875" style="282" customWidth="1"/>
    <col min="6915" max="6915" width="17.5703125" style="282" customWidth="1"/>
    <col min="6916" max="6916" width="5.28515625" style="282" customWidth="1"/>
    <col min="6917" max="6917" width="13.5703125" style="282" customWidth="1"/>
    <col min="6918" max="6920" width="12.85546875" style="282" customWidth="1"/>
    <col min="6921" max="6921" width="12.140625" style="282" customWidth="1"/>
    <col min="6922" max="7168" width="9.140625" style="282"/>
    <col min="7169" max="7169" width="13.140625" style="282" customWidth="1"/>
    <col min="7170" max="7170" width="47.85546875" style="282" customWidth="1"/>
    <col min="7171" max="7171" width="17.5703125" style="282" customWidth="1"/>
    <col min="7172" max="7172" width="5.28515625" style="282" customWidth="1"/>
    <col min="7173" max="7173" width="13.5703125" style="282" customWidth="1"/>
    <col min="7174" max="7176" width="12.85546875" style="282" customWidth="1"/>
    <col min="7177" max="7177" width="12.140625" style="282" customWidth="1"/>
    <col min="7178" max="7424" width="9.140625" style="282"/>
    <col min="7425" max="7425" width="13.140625" style="282" customWidth="1"/>
    <col min="7426" max="7426" width="47.85546875" style="282" customWidth="1"/>
    <col min="7427" max="7427" width="17.5703125" style="282" customWidth="1"/>
    <col min="7428" max="7428" width="5.28515625" style="282" customWidth="1"/>
    <col min="7429" max="7429" width="13.5703125" style="282" customWidth="1"/>
    <col min="7430" max="7432" width="12.85546875" style="282" customWidth="1"/>
    <col min="7433" max="7433" width="12.140625" style="282" customWidth="1"/>
    <col min="7434" max="7680" width="9.140625" style="282"/>
    <col min="7681" max="7681" width="13.140625" style="282" customWidth="1"/>
    <col min="7682" max="7682" width="47.85546875" style="282" customWidth="1"/>
    <col min="7683" max="7683" width="17.5703125" style="282" customWidth="1"/>
    <col min="7684" max="7684" width="5.28515625" style="282" customWidth="1"/>
    <col min="7685" max="7685" width="13.5703125" style="282" customWidth="1"/>
    <col min="7686" max="7688" width="12.85546875" style="282" customWidth="1"/>
    <col min="7689" max="7689" width="12.140625" style="282" customWidth="1"/>
    <col min="7690" max="7936" width="9.140625" style="282"/>
    <col min="7937" max="7937" width="13.140625" style="282" customWidth="1"/>
    <col min="7938" max="7938" width="47.85546875" style="282" customWidth="1"/>
    <col min="7939" max="7939" width="17.5703125" style="282" customWidth="1"/>
    <col min="7940" max="7940" width="5.28515625" style="282" customWidth="1"/>
    <col min="7941" max="7941" width="13.5703125" style="282" customWidth="1"/>
    <col min="7942" max="7944" width="12.85546875" style="282" customWidth="1"/>
    <col min="7945" max="7945" width="12.140625" style="282" customWidth="1"/>
    <col min="7946" max="8192" width="9.140625" style="282"/>
    <col min="8193" max="8193" width="13.140625" style="282" customWidth="1"/>
    <col min="8194" max="8194" width="47.85546875" style="282" customWidth="1"/>
    <col min="8195" max="8195" width="17.5703125" style="282" customWidth="1"/>
    <col min="8196" max="8196" width="5.28515625" style="282" customWidth="1"/>
    <col min="8197" max="8197" width="13.5703125" style="282" customWidth="1"/>
    <col min="8198" max="8200" width="12.85546875" style="282" customWidth="1"/>
    <col min="8201" max="8201" width="12.140625" style="282" customWidth="1"/>
    <col min="8202" max="8448" width="9.140625" style="282"/>
    <col min="8449" max="8449" width="13.140625" style="282" customWidth="1"/>
    <col min="8450" max="8450" width="47.85546875" style="282" customWidth="1"/>
    <col min="8451" max="8451" width="17.5703125" style="282" customWidth="1"/>
    <col min="8452" max="8452" width="5.28515625" style="282" customWidth="1"/>
    <col min="8453" max="8453" width="13.5703125" style="282" customWidth="1"/>
    <col min="8454" max="8456" width="12.85546875" style="282" customWidth="1"/>
    <col min="8457" max="8457" width="12.140625" style="282" customWidth="1"/>
    <col min="8458" max="8704" width="9.140625" style="282"/>
    <col min="8705" max="8705" width="13.140625" style="282" customWidth="1"/>
    <col min="8706" max="8706" width="47.85546875" style="282" customWidth="1"/>
    <col min="8707" max="8707" width="17.5703125" style="282" customWidth="1"/>
    <col min="8708" max="8708" width="5.28515625" style="282" customWidth="1"/>
    <col min="8709" max="8709" width="13.5703125" style="282" customWidth="1"/>
    <col min="8710" max="8712" width="12.85546875" style="282" customWidth="1"/>
    <col min="8713" max="8713" width="12.140625" style="282" customWidth="1"/>
    <col min="8714" max="8960" width="9.140625" style="282"/>
    <col min="8961" max="8961" width="13.140625" style="282" customWidth="1"/>
    <col min="8962" max="8962" width="47.85546875" style="282" customWidth="1"/>
    <col min="8963" max="8963" width="17.5703125" style="282" customWidth="1"/>
    <col min="8964" max="8964" width="5.28515625" style="282" customWidth="1"/>
    <col min="8965" max="8965" width="13.5703125" style="282" customWidth="1"/>
    <col min="8966" max="8968" width="12.85546875" style="282" customWidth="1"/>
    <col min="8969" max="8969" width="12.140625" style="282" customWidth="1"/>
    <col min="8970" max="9216" width="9.140625" style="282"/>
    <col min="9217" max="9217" width="13.140625" style="282" customWidth="1"/>
    <col min="9218" max="9218" width="47.85546875" style="282" customWidth="1"/>
    <col min="9219" max="9219" width="17.5703125" style="282" customWidth="1"/>
    <col min="9220" max="9220" width="5.28515625" style="282" customWidth="1"/>
    <col min="9221" max="9221" width="13.5703125" style="282" customWidth="1"/>
    <col min="9222" max="9224" width="12.85546875" style="282" customWidth="1"/>
    <col min="9225" max="9225" width="12.140625" style="282" customWidth="1"/>
    <col min="9226" max="9472" width="9.140625" style="282"/>
    <col min="9473" max="9473" width="13.140625" style="282" customWidth="1"/>
    <col min="9474" max="9474" width="47.85546875" style="282" customWidth="1"/>
    <col min="9475" max="9475" width="17.5703125" style="282" customWidth="1"/>
    <col min="9476" max="9476" width="5.28515625" style="282" customWidth="1"/>
    <col min="9477" max="9477" width="13.5703125" style="282" customWidth="1"/>
    <col min="9478" max="9480" width="12.85546875" style="282" customWidth="1"/>
    <col min="9481" max="9481" width="12.140625" style="282" customWidth="1"/>
    <col min="9482" max="9728" width="9.140625" style="282"/>
    <col min="9729" max="9729" width="13.140625" style="282" customWidth="1"/>
    <col min="9730" max="9730" width="47.85546875" style="282" customWidth="1"/>
    <col min="9731" max="9731" width="17.5703125" style="282" customWidth="1"/>
    <col min="9732" max="9732" width="5.28515625" style="282" customWidth="1"/>
    <col min="9733" max="9733" width="13.5703125" style="282" customWidth="1"/>
    <col min="9734" max="9736" width="12.85546875" style="282" customWidth="1"/>
    <col min="9737" max="9737" width="12.140625" style="282" customWidth="1"/>
    <col min="9738" max="9984" width="9.140625" style="282"/>
    <col min="9985" max="9985" width="13.140625" style="282" customWidth="1"/>
    <col min="9986" max="9986" width="47.85546875" style="282" customWidth="1"/>
    <col min="9987" max="9987" width="17.5703125" style="282" customWidth="1"/>
    <col min="9988" max="9988" width="5.28515625" style="282" customWidth="1"/>
    <col min="9989" max="9989" width="13.5703125" style="282" customWidth="1"/>
    <col min="9990" max="9992" width="12.85546875" style="282" customWidth="1"/>
    <col min="9993" max="9993" width="12.140625" style="282" customWidth="1"/>
    <col min="9994" max="10240" width="9.140625" style="282"/>
    <col min="10241" max="10241" width="13.140625" style="282" customWidth="1"/>
    <col min="10242" max="10242" width="47.85546875" style="282" customWidth="1"/>
    <col min="10243" max="10243" width="17.5703125" style="282" customWidth="1"/>
    <col min="10244" max="10244" width="5.28515625" style="282" customWidth="1"/>
    <col min="10245" max="10245" width="13.5703125" style="282" customWidth="1"/>
    <col min="10246" max="10248" width="12.85546875" style="282" customWidth="1"/>
    <col min="10249" max="10249" width="12.140625" style="282" customWidth="1"/>
    <col min="10250" max="10496" width="9.140625" style="282"/>
    <col min="10497" max="10497" width="13.140625" style="282" customWidth="1"/>
    <col min="10498" max="10498" width="47.85546875" style="282" customWidth="1"/>
    <col min="10499" max="10499" width="17.5703125" style="282" customWidth="1"/>
    <col min="10500" max="10500" width="5.28515625" style="282" customWidth="1"/>
    <col min="10501" max="10501" width="13.5703125" style="282" customWidth="1"/>
    <col min="10502" max="10504" width="12.85546875" style="282" customWidth="1"/>
    <col min="10505" max="10505" width="12.140625" style="282" customWidth="1"/>
    <col min="10506" max="10752" width="9.140625" style="282"/>
    <col min="10753" max="10753" width="13.140625" style="282" customWidth="1"/>
    <col min="10754" max="10754" width="47.85546875" style="282" customWidth="1"/>
    <col min="10755" max="10755" width="17.5703125" style="282" customWidth="1"/>
    <col min="10756" max="10756" width="5.28515625" style="282" customWidth="1"/>
    <col min="10757" max="10757" width="13.5703125" style="282" customWidth="1"/>
    <col min="10758" max="10760" width="12.85546875" style="282" customWidth="1"/>
    <col min="10761" max="10761" width="12.140625" style="282" customWidth="1"/>
    <col min="10762" max="11008" width="9.140625" style="282"/>
    <col min="11009" max="11009" width="13.140625" style="282" customWidth="1"/>
    <col min="11010" max="11010" width="47.85546875" style="282" customWidth="1"/>
    <col min="11011" max="11011" width="17.5703125" style="282" customWidth="1"/>
    <col min="11012" max="11012" width="5.28515625" style="282" customWidth="1"/>
    <col min="11013" max="11013" width="13.5703125" style="282" customWidth="1"/>
    <col min="11014" max="11016" width="12.85546875" style="282" customWidth="1"/>
    <col min="11017" max="11017" width="12.140625" style="282" customWidth="1"/>
    <col min="11018" max="11264" width="9.140625" style="282"/>
    <col min="11265" max="11265" width="13.140625" style="282" customWidth="1"/>
    <col min="11266" max="11266" width="47.85546875" style="282" customWidth="1"/>
    <col min="11267" max="11267" width="17.5703125" style="282" customWidth="1"/>
    <col min="11268" max="11268" width="5.28515625" style="282" customWidth="1"/>
    <col min="11269" max="11269" width="13.5703125" style="282" customWidth="1"/>
    <col min="11270" max="11272" width="12.85546875" style="282" customWidth="1"/>
    <col min="11273" max="11273" width="12.140625" style="282" customWidth="1"/>
    <col min="11274" max="11520" width="9.140625" style="282"/>
    <col min="11521" max="11521" width="13.140625" style="282" customWidth="1"/>
    <col min="11522" max="11522" width="47.85546875" style="282" customWidth="1"/>
    <col min="11523" max="11523" width="17.5703125" style="282" customWidth="1"/>
    <col min="11524" max="11524" width="5.28515625" style="282" customWidth="1"/>
    <col min="11525" max="11525" width="13.5703125" style="282" customWidth="1"/>
    <col min="11526" max="11528" width="12.85546875" style="282" customWidth="1"/>
    <col min="11529" max="11529" width="12.140625" style="282" customWidth="1"/>
    <col min="11530" max="11776" width="9.140625" style="282"/>
    <col min="11777" max="11777" width="13.140625" style="282" customWidth="1"/>
    <col min="11778" max="11778" width="47.85546875" style="282" customWidth="1"/>
    <col min="11779" max="11779" width="17.5703125" style="282" customWidth="1"/>
    <col min="11780" max="11780" width="5.28515625" style="282" customWidth="1"/>
    <col min="11781" max="11781" width="13.5703125" style="282" customWidth="1"/>
    <col min="11782" max="11784" width="12.85546875" style="282" customWidth="1"/>
    <col min="11785" max="11785" width="12.140625" style="282" customWidth="1"/>
    <col min="11786" max="12032" width="9.140625" style="282"/>
    <col min="12033" max="12033" width="13.140625" style="282" customWidth="1"/>
    <col min="12034" max="12034" width="47.85546875" style="282" customWidth="1"/>
    <col min="12035" max="12035" width="17.5703125" style="282" customWidth="1"/>
    <col min="12036" max="12036" width="5.28515625" style="282" customWidth="1"/>
    <col min="12037" max="12037" width="13.5703125" style="282" customWidth="1"/>
    <col min="12038" max="12040" width="12.85546875" style="282" customWidth="1"/>
    <col min="12041" max="12041" width="12.140625" style="282" customWidth="1"/>
    <col min="12042" max="12288" width="9.140625" style="282"/>
    <col min="12289" max="12289" width="13.140625" style="282" customWidth="1"/>
    <col min="12290" max="12290" width="47.85546875" style="282" customWidth="1"/>
    <col min="12291" max="12291" width="17.5703125" style="282" customWidth="1"/>
    <col min="12292" max="12292" width="5.28515625" style="282" customWidth="1"/>
    <col min="12293" max="12293" width="13.5703125" style="282" customWidth="1"/>
    <col min="12294" max="12296" width="12.85546875" style="282" customWidth="1"/>
    <col min="12297" max="12297" width="12.140625" style="282" customWidth="1"/>
    <col min="12298" max="12544" width="9.140625" style="282"/>
    <col min="12545" max="12545" width="13.140625" style="282" customWidth="1"/>
    <col min="12546" max="12546" width="47.85546875" style="282" customWidth="1"/>
    <col min="12547" max="12547" width="17.5703125" style="282" customWidth="1"/>
    <col min="12548" max="12548" width="5.28515625" style="282" customWidth="1"/>
    <col min="12549" max="12549" width="13.5703125" style="282" customWidth="1"/>
    <col min="12550" max="12552" width="12.85546875" style="282" customWidth="1"/>
    <col min="12553" max="12553" width="12.140625" style="282" customWidth="1"/>
    <col min="12554" max="12800" width="9.140625" style="282"/>
    <col min="12801" max="12801" width="13.140625" style="282" customWidth="1"/>
    <col min="12802" max="12802" width="47.85546875" style="282" customWidth="1"/>
    <col min="12803" max="12803" width="17.5703125" style="282" customWidth="1"/>
    <col min="12804" max="12804" width="5.28515625" style="282" customWidth="1"/>
    <col min="12805" max="12805" width="13.5703125" style="282" customWidth="1"/>
    <col min="12806" max="12808" width="12.85546875" style="282" customWidth="1"/>
    <col min="12809" max="12809" width="12.140625" style="282" customWidth="1"/>
    <col min="12810" max="13056" width="9.140625" style="282"/>
    <col min="13057" max="13057" width="13.140625" style="282" customWidth="1"/>
    <col min="13058" max="13058" width="47.85546875" style="282" customWidth="1"/>
    <col min="13059" max="13059" width="17.5703125" style="282" customWidth="1"/>
    <col min="13060" max="13060" width="5.28515625" style="282" customWidth="1"/>
    <col min="13061" max="13061" width="13.5703125" style="282" customWidth="1"/>
    <col min="13062" max="13064" width="12.85546875" style="282" customWidth="1"/>
    <col min="13065" max="13065" width="12.140625" style="282" customWidth="1"/>
    <col min="13066" max="13312" width="9.140625" style="282"/>
    <col min="13313" max="13313" width="13.140625" style="282" customWidth="1"/>
    <col min="13314" max="13314" width="47.85546875" style="282" customWidth="1"/>
    <col min="13315" max="13315" width="17.5703125" style="282" customWidth="1"/>
    <col min="13316" max="13316" width="5.28515625" style="282" customWidth="1"/>
    <col min="13317" max="13317" width="13.5703125" style="282" customWidth="1"/>
    <col min="13318" max="13320" width="12.85546875" style="282" customWidth="1"/>
    <col min="13321" max="13321" width="12.140625" style="282" customWidth="1"/>
    <col min="13322" max="13568" width="9.140625" style="282"/>
    <col min="13569" max="13569" width="13.140625" style="282" customWidth="1"/>
    <col min="13570" max="13570" width="47.85546875" style="282" customWidth="1"/>
    <col min="13571" max="13571" width="17.5703125" style="282" customWidth="1"/>
    <col min="13572" max="13572" width="5.28515625" style="282" customWidth="1"/>
    <col min="13573" max="13573" width="13.5703125" style="282" customWidth="1"/>
    <col min="13574" max="13576" width="12.85546875" style="282" customWidth="1"/>
    <col min="13577" max="13577" width="12.140625" style="282" customWidth="1"/>
    <col min="13578" max="13824" width="9.140625" style="282"/>
    <col min="13825" max="13825" width="13.140625" style="282" customWidth="1"/>
    <col min="13826" max="13826" width="47.85546875" style="282" customWidth="1"/>
    <col min="13827" max="13827" width="17.5703125" style="282" customWidth="1"/>
    <col min="13828" max="13828" width="5.28515625" style="282" customWidth="1"/>
    <col min="13829" max="13829" width="13.5703125" style="282" customWidth="1"/>
    <col min="13830" max="13832" width="12.85546875" style="282" customWidth="1"/>
    <col min="13833" max="13833" width="12.140625" style="282" customWidth="1"/>
    <col min="13834" max="14080" width="9.140625" style="282"/>
    <col min="14081" max="14081" width="13.140625" style="282" customWidth="1"/>
    <col min="14082" max="14082" width="47.85546875" style="282" customWidth="1"/>
    <col min="14083" max="14083" width="17.5703125" style="282" customWidth="1"/>
    <col min="14084" max="14084" width="5.28515625" style="282" customWidth="1"/>
    <col min="14085" max="14085" width="13.5703125" style="282" customWidth="1"/>
    <col min="14086" max="14088" width="12.85546875" style="282" customWidth="1"/>
    <col min="14089" max="14089" width="12.140625" style="282" customWidth="1"/>
    <col min="14090" max="14336" width="9.140625" style="282"/>
    <col min="14337" max="14337" width="13.140625" style="282" customWidth="1"/>
    <col min="14338" max="14338" width="47.85546875" style="282" customWidth="1"/>
    <col min="14339" max="14339" width="17.5703125" style="282" customWidth="1"/>
    <col min="14340" max="14340" width="5.28515625" style="282" customWidth="1"/>
    <col min="14341" max="14341" width="13.5703125" style="282" customWidth="1"/>
    <col min="14342" max="14344" width="12.85546875" style="282" customWidth="1"/>
    <col min="14345" max="14345" width="12.140625" style="282" customWidth="1"/>
    <col min="14346" max="14592" width="9.140625" style="282"/>
    <col min="14593" max="14593" width="13.140625" style="282" customWidth="1"/>
    <col min="14594" max="14594" width="47.85546875" style="282" customWidth="1"/>
    <col min="14595" max="14595" width="17.5703125" style="282" customWidth="1"/>
    <col min="14596" max="14596" width="5.28515625" style="282" customWidth="1"/>
    <col min="14597" max="14597" width="13.5703125" style="282" customWidth="1"/>
    <col min="14598" max="14600" width="12.85546875" style="282" customWidth="1"/>
    <col min="14601" max="14601" width="12.140625" style="282" customWidth="1"/>
    <col min="14602" max="14848" width="9.140625" style="282"/>
    <col min="14849" max="14849" width="13.140625" style="282" customWidth="1"/>
    <col min="14850" max="14850" width="47.85546875" style="282" customWidth="1"/>
    <col min="14851" max="14851" width="17.5703125" style="282" customWidth="1"/>
    <col min="14852" max="14852" width="5.28515625" style="282" customWidth="1"/>
    <col min="14853" max="14853" width="13.5703125" style="282" customWidth="1"/>
    <col min="14854" max="14856" width="12.85546875" style="282" customWidth="1"/>
    <col min="14857" max="14857" width="12.140625" style="282" customWidth="1"/>
    <col min="14858" max="15104" width="9.140625" style="282"/>
    <col min="15105" max="15105" width="13.140625" style="282" customWidth="1"/>
    <col min="15106" max="15106" width="47.85546875" style="282" customWidth="1"/>
    <col min="15107" max="15107" width="17.5703125" style="282" customWidth="1"/>
    <col min="15108" max="15108" width="5.28515625" style="282" customWidth="1"/>
    <col min="15109" max="15109" width="13.5703125" style="282" customWidth="1"/>
    <col min="15110" max="15112" width="12.85546875" style="282" customWidth="1"/>
    <col min="15113" max="15113" width="12.140625" style="282" customWidth="1"/>
    <col min="15114" max="15360" width="9.140625" style="282"/>
    <col min="15361" max="15361" width="13.140625" style="282" customWidth="1"/>
    <col min="15362" max="15362" width="47.85546875" style="282" customWidth="1"/>
    <col min="15363" max="15363" width="17.5703125" style="282" customWidth="1"/>
    <col min="15364" max="15364" width="5.28515625" style="282" customWidth="1"/>
    <col min="15365" max="15365" width="13.5703125" style="282" customWidth="1"/>
    <col min="15366" max="15368" width="12.85546875" style="282" customWidth="1"/>
    <col min="15369" max="15369" width="12.140625" style="282" customWidth="1"/>
    <col min="15370" max="15616" width="9.140625" style="282"/>
    <col min="15617" max="15617" width="13.140625" style="282" customWidth="1"/>
    <col min="15618" max="15618" width="47.85546875" style="282" customWidth="1"/>
    <col min="15619" max="15619" width="17.5703125" style="282" customWidth="1"/>
    <col min="15620" max="15620" width="5.28515625" style="282" customWidth="1"/>
    <col min="15621" max="15621" width="13.5703125" style="282" customWidth="1"/>
    <col min="15622" max="15624" width="12.85546875" style="282" customWidth="1"/>
    <col min="15625" max="15625" width="12.140625" style="282" customWidth="1"/>
    <col min="15626" max="15872" width="9.140625" style="282"/>
    <col min="15873" max="15873" width="13.140625" style="282" customWidth="1"/>
    <col min="15874" max="15874" width="47.85546875" style="282" customWidth="1"/>
    <col min="15875" max="15875" width="17.5703125" style="282" customWidth="1"/>
    <col min="15876" max="15876" width="5.28515625" style="282" customWidth="1"/>
    <col min="15877" max="15877" width="13.5703125" style="282" customWidth="1"/>
    <col min="15878" max="15880" width="12.85546875" style="282" customWidth="1"/>
    <col min="15881" max="15881" width="12.140625" style="282" customWidth="1"/>
    <col min="15882" max="16128" width="9.140625" style="282"/>
    <col min="16129" max="16129" width="13.140625" style="282" customWidth="1"/>
    <col min="16130" max="16130" width="47.85546875" style="282" customWidth="1"/>
    <col min="16131" max="16131" width="17.5703125" style="282" customWidth="1"/>
    <col min="16132" max="16132" width="5.28515625" style="282" customWidth="1"/>
    <col min="16133" max="16133" width="13.5703125" style="282" customWidth="1"/>
    <col min="16134" max="16136" width="12.85546875" style="282" customWidth="1"/>
    <col min="16137" max="16137" width="12.140625" style="282" customWidth="1"/>
    <col min="16138" max="16384" width="9.140625" style="282"/>
  </cols>
  <sheetData>
    <row r="1" spans="1:14" s="275" customFormat="1" ht="23.25">
      <c r="A1" s="276"/>
      <c r="B1" s="268"/>
      <c r="C1" s="277"/>
      <c r="D1" s="270"/>
      <c r="E1" s="271"/>
      <c r="G1" s="278" t="s">
        <v>533</v>
      </c>
      <c r="H1" s="272"/>
      <c r="I1" s="272"/>
      <c r="J1" s="272"/>
      <c r="K1" s="272"/>
      <c r="L1" s="272"/>
      <c r="M1" s="272"/>
      <c r="N1" s="279"/>
    </row>
    <row r="2" spans="1:14" s="275" customFormat="1" ht="15">
      <c r="A2" s="267"/>
      <c r="B2" s="268"/>
      <c r="C2" s="277"/>
      <c r="D2" s="270"/>
      <c r="E2" s="271"/>
      <c r="F2" s="272"/>
      <c r="G2" s="273"/>
      <c r="H2" s="272"/>
      <c r="I2" s="272"/>
      <c r="J2" s="272"/>
      <c r="K2" s="272"/>
      <c r="L2" s="272"/>
      <c r="M2" s="272"/>
      <c r="N2" s="279"/>
    </row>
    <row r="3" spans="1:14" s="275" customFormat="1" ht="15">
      <c r="A3" s="267" t="s">
        <v>527</v>
      </c>
      <c r="B3" s="268"/>
      <c r="C3" s="277"/>
      <c r="D3" s="270"/>
      <c r="E3" s="271"/>
      <c r="F3" s="272"/>
      <c r="G3" s="273"/>
      <c r="H3" s="272"/>
      <c r="I3" s="272"/>
      <c r="J3" s="272"/>
      <c r="K3" s="272"/>
      <c r="L3" s="272"/>
      <c r="M3" s="272"/>
      <c r="N3" s="279"/>
    </row>
    <row r="4" spans="1:14" s="275" customFormat="1" ht="15">
      <c r="A4" s="267" t="s">
        <v>808</v>
      </c>
      <c r="B4" s="268"/>
      <c r="C4" s="277"/>
      <c r="D4" s="270"/>
      <c r="E4" s="271"/>
      <c r="F4" s="272"/>
      <c r="G4" s="273"/>
      <c r="H4" s="272"/>
      <c r="I4" s="272"/>
      <c r="J4" s="272"/>
      <c r="K4" s="272"/>
      <c r="L4" s="272"/>
      <c r="M4" s="272"/>
      <c r="N4" s="279"/>
    </row>
    <row r="5" spans="1:14" s="275" customFormat="1" ht="15">
      <c r="A5" s="267" t="s">
        <v>809</v>
      </c>
      <c r="B5" s="268"/>
      <c r="C5" s="277"/>
      <c r="D5" s="270"/>
      <c r="E5" s="271"/>
      <c r="F5" s="272"/>
      <c r="G5" s="273"/>
      <c r="H5" s="272"/>
      <c r="I5" s="272"/>
      <c r="J5" s="272"/>
      <c r="K5" s="272"/>
      <c r="L5" s="272"/>
      <c r="M5" s="272"/>
      <c r="N5" s="279"/>
    </row>
    <row r="6" spans="1:14" s="275" customFormat="1" ht="15">
      <c r="A6" s="267" t="s">
        <v>531</v>
      </c>
      <c r="B6" s="268"/>
      <c r="C6" s="277"/>
      <c r="D6" s="270"/>
      <c r="E6" s="271"/>
      <c r="F6" s="272"/>
      <c r="G6" s="273"/>
      <c r="H6" s="272"/>
      <c r="I6" s="272"/>
      <c r="J6" s="272"/>
      <c r="K6" s="272"/>
      <c r="L6" s="272"/>
      <c r="M6" s="272"/>
      <c r="N6" s="279"/>
    </row>
    <row r="7" spans="1:14" s="275" customFormat="1" ht="15">
      <c r="A7" s="276"/>
      <c r="B7" s="268"/>
      <c r="C7" s="277"/>
      <c r="D7" s="270"/>
      <c r="E7" s="271"/>
      <c r="F7" s="272"/>
      <c r="G7" s="273"/>
      <c r="H7" s="272"/>
      <c r="I7" s="272"/>
      <c r="J7" s="272"/>
      <c r="K7" s="272"/>
      <c r="L7" s="272"/>
      <c r="M7" s="272"/>
      <c r="N7" s="279"/>
    </row>
    <row r="8" spans="1:14" ht="18">
      <c r="A8" s="280"/>
      <c r="B8" s="281"/>
    </row>
    <row r="9" spans="1:14" ht="18">
      <c r="A9" s="280"/>
      <c r="B9" s="281" t="s">
        <v>574</v>
      </c>
    </row>
    <row r="10" spans="1:14" ht="13.5" thickBot="1"/>
    <row r="11" spans="1:14" s="283" customFormat="1" ht="18" customHeight="1" thickBot="1">
      <c r="A11" s="618" t="s">
        <v>0</v>
      </c>
      <c r="B11" s="618" t="s">
        <v>43</v>
      </c>
      <c r="C11" s="619" t="s">
        <v>535</v>
      </c>
      <c r="E11" s="621" t="s">
        <v>536</v>
      </c>
      <c r="F11" s="622"/>
      <c r="G11" s="622"/>
      <c r="H11" s="623"/>
      <c r="I11" s="282"/>
      <c r="J11" s="282"/>
      <c r="K11" s="282"/>
      <c r="L11" s="282"/>
    </row>
    <row r="12" spans="1:14" s="283" customFormat="1" ht="13.5" thickBot="1">
      <c r="A12" s="618"/>
      <c r="B12" s="618"/>
      <c r="C12" s="620"/>
      <c r="E12" s="284"/>
      <c r="F12" s="284" t="s">
        <v>537</v>
      </c>
      <c r="G12" s="284" t="s">
        <v>538</v>
      </c>
      <c r="H12" s="284" t="s">
        <v>539</v>
      </c>
    </row>
    <row r="13" spans="1:14" ht="15.95" customHeight="1" thickBot="1">
      <c r="A13" s="285">
        <v>1</v>
      </c>
      <c r="B13" s="286" t="s">
        <v>540</v>
      </c>
      <c r="C13" s="287">
        <v>0.04</v>
      </c>
      <c r="E13" s="288" t="s">
        <v>541</v>
      </c>
      <c r="F13" s="288">
        <v>3.7999999999999999E-2</v>
      </c>
      <c r="G13" s="288">
        <v>4.0099999999999997E-2</v>
      </c>
      <c r="H13" s="288">
        <v>4.6699999999999998E-2</v>
      </c>
      <c r="I13" s="283"/>
      <c r="J13" s="283"/>
      <c r="K13" s="283"/>
      <c r="L13" s="283"/>
    </row>
    <row r="14" spans="1:14" ht="15.95" customHeight="1" thickBot="1">
      <c r="A14" s="285">
        <v>2</v>
      </c>
      <c r="B14" s="286" t="s">
        <v>542</v>
      </c>
      <c r="C14" s="289">
        <v>5.0000000000000001E-3</v>
      </c>
      <c r="E14" s="288" t="s">
        <v>543</v>
      </c>
      <c r="F14" s="288">
        <v>3.2000000000000002E-3</v>
      </c>
      <c r="G14" s="288">
        <v>4.0000000000000001E-3</v>
      </c>
      <c r="H14" s="288">
        <v>7.4000000000000003E-3</v>
      </c>
      <c r="I14" s="283"/>
      <c r="J14" s="283"/>
      <c r="K14" s="283"/>
    </row>
    <row r="15" spans="1:14" ht="15.95" customHeight="1" thickBot="1">
      <c r="A15" s="285">
        <v>3</v>
      </c>
      <c r="B15" s="286" t="s">
        <v>544</v>
      </c>
      <c r="C15" s="289">
        <v>6.0000000000000001E-3</v>
      </c>
      <c r="E15" s="288" t="s">
        <v>545</v>
      </c>
      <c r="F15" s="288">
        <v>5.0000000000000001E-3</v>
      </c>
      <c r="G15" s="288">
        <v>5.5999999999999999E-3</v>
      </c>
      <c r="H15" s="288">
        <v>9.7000000000000003E-3</v>
      </c>
      <c r="I15" s="283"/>
      <c r="J15" s="283"/>
      <c r="K15" s="283"/>
    </row>
    <row r="16" spans="1:14" ht="15.95" customHeight="1" thickBot="1">
      <c r="A16" s="285">
        <v>4</v>
      </c>
      <c r="B16" s="286" t="s">
        <v>546</v>
      </c>
      <c r="C16" s="289">
        <v>1.0999999999999999E-2</v>
      </c>
      <c r="E16" s="288" t="s">
        <v>547</v>
      </c>
      <c r="F16" s="288">
        <v>1.0200000000000001E-2</v>
      </c>
      <c r="G16" s="288">
        <v>1.11E-2</v>
      </c>
      <c r="H16" s="288">
        <v>1.21E-2</v>
      </c>
      <c r="I16" s="283"/>
      <c r="J16" s="283"/>
      <c r="K16" s="283"/>
    </row>
    <row r="17" spans="1:11" ht="15.95" customHeight="1" thickBot="1">
      <c r="A17" s="285">
        <v>5</v>
      </c>
      <c r="B17" s="286" t="s">
        <v>548</v>
      </c>
      <c r="C17" s="289">
        <v>7.4999999999999997E-2</v>
      </c>
      <c r="E17" s="288" t="s">
        <v>549</v>
      </c>
      <c r="F17" s="288">
        <v>6.6400000000000001E-2</v>
      </c>
      <c r="G17" s="288">
        <v>7.2999999999999995E-2</v>
      </c>
      <c r="H17" s="288">
        <v>8.6900000000000005E-2</v>
      </c>
      <c r="I17" s="283"/>
      <c r="J17" s="283"/>
      <c r="K17" s="283"/>
    </row>
    <row r="18" spans="1:11" ht="15.95" customHeight="1" thickBot="1">
      <c r="A18" s="285">
        <v>6</v>
      </c>
      <c r="B18" s="286" t="s">
        <v>550</v>
      </c>
      <c r="C18" s="290">
        <f>SUM(C19:C22)</f>
        <v>0.03</v>
      </c>
      <c r="I18" s="283"/>
      <c r="J18" s="283"/>
      <c r="K18" s="283"/>
    </row>
    <row r="19" spans="1:11" ht="15.95" customHeight="1" thickBot="1">
      <c r="A19" s="285" t="s">
        <v>18</v>
      </c>
      <c r="B19" s="286" t="s">
        <v>551</v>
      </c>
      <c r="C19" s="289">
        <v>0.03</v>
      </c>
      <c r="E19" s="291" t="s">
        <v>552</v>
      </c>
      <c r="F19" s="288">
        <v>0.19600000000000001</v>
      </c>
      <c r="G19" s="288">
        <v>0.2097</v>
      </c>
      <c r="H19" s="288">
        <v>0.24229999999999999</v>
      </c>
      <c r="I19" s="283"/>
      <c r="J19" s="283"/>
      <c r="K19" s="283"/>
    </row>
    <row r="20" spans="1:11" ht="15.95" customHeight="1" thickBot="1">
      <c r="A20" s="285" t="s">
        <v>22</v>
      </c>
      <c r="B20" s="286" t="s">
        <v>553</v>
      </c>
      <c r="C20" s="289"/>
      <c r="E20" s="291" t="s">
        <v>554</v>
      </c>
      <c r="F20" s="288">
        <v>0.25590000000000002</v>
      </c>
      <c r="G20" s="288">
        <v>0.19520000000000001</v>
      </c>
      <c r="H20" s="288">
        <v>0.30449999999999999</v>
      </c>
      <c r="I20" s="283"/>
      <c r="J20" s="283"/>
      <c r="K20" s="283"/>
    </row>
    <row r="21" spans="1:11" ht="15.95" customHeight="1" thickBot="1">
      <c r="A21" s="285" t="s">
        <v>25</v>
      </c>
      <c r="B21" s="286" t="s">
        <v>555</v>
      </c>
      <c r="C21" s="289"/>
      <c r="I21" s="283"/>
      <c r="J21" s="283"/>
      <c r="K21" s="283"/>
    </row>
    <row r="22" spans="1:11" ht="15.95" customHeight="1" thickBot="1">
      <c r="A22" s="285" t="s">
        <v>556</v>
      </c>
      <c r="B22" s="286" t="s">
        <v>557</v>
      </c>
      <c r="C22" s="292"/>
      <c r="E22" s="624" t="s">
        <v>558</v>
      </c>
      <c r="F22" s="624"/>
      <c r="G22" s="624"/>
      <c r="H22" s="624"/>
      <c r="I22" s="283"/>
      <c r="J22" s="283"/>
      <c r="K22" s="283"/>
    </row>
    <row r="23" spans="1:11" ht="15.95" customHeight="1" thickBot="1">
      <c r="A23" s="625" t="s">
        <v>575</v>
      </c>
      <c r="B23" s="626"/>
      <c r="C23" s="293">
        <f>TRUNC((((1+$C15+$C16+$C17)*(1+$C18)*(1+$C19)/(1-$C20)))-1,4)</f>
        <v>0.1585</v>
      </c>
      <c r="I23" s="283"/>
      <c r="J23" s="283"/>
      <c r="K23" s="283"/>
    </row>
    <row r="24" spans="1:11">
      <c r="I24" s="283"/>
      <c r="J24" s="283"/>
      <c r="K24" s="283"/>
    </row>
    <row r="25" spans="1:11" ht="27" customHeight="1">
      <c r="A25" s="627" t="s">
        <v>560</v>
      </c>
      <c r="B25" s="627"/>
      <c r="C25" s="627"/>
      <c r="I25" s="283"/>
      <c r="J25" s="283"/>
      <c r="K25" s="283"/>
    </row>
    <row r="26" spans="1:11">
      <c r="I26" s="283"/>
      <c r="J26" s="283"/>
      <c r="K26" s="283"/>
    </row>
    <row r="27" spans="1:11" ht="13.5" thickBot="1">
      <c r="A27" s="294" t="s">
        <v>561</v>
      </c>
      <c r="I27" s="283"/>
      <c r="J27" s="283"/>
      <c r="K27" s="283"/>
    </row>
    <row r="28" spans="1:11">
      <c r="A28" s="295" t="s">
        <v>562</v>
      </c>
      <c r="B28" s="296"/>
      <c r="C28" s="297"/>
      <c r="I28" s="283"/>
      <c r="J28" s="283"/>
      <c r="K28" s="283"/>
    </row>
    <row r="29" spans="1:11">
      <c r="A29" s="298" t="s">
        <v>563</v>
      </c>
      <c r="B29" s="299"/>
      <c r="C29" s="300"/>
      <c r="E29" s="282" t="s">
        <v>564</v>
      </c>
      <c r="I29" s="283"/>
      <c r="J29" s="283"/>
      <c r="K29" s="283"/>
    </row>
    <row r="30" spans="1:11" ht="15" customHeight="1" thickBot="1">
      <c r="A30" s="301" t="s">
        <v>565</v>
      </c>
      <c r="B30" s="302"/>
      <c r="C30" s="303">
        <f>+C28*C29</f>
        <v>0</v>
      </c>
      <c r="E30" s="282" t="s">
        <v>566</v>
      </c>
    </row>
    <row r="31" spans="1:11" ht="12.75" customHeight="1">
      <c r="A31" s="612" t="s">
        <v>576</v>
      </c>
      <c r="B31" s="613"/>
      <c r="C31" s="614"/>
      <c r="E31" s="282" t="s">
        <v>568</v>
      </c>
    </row>
    <row r="32" spans="1:11" ht="15" customHeight="1">
      <c r="A32" s="612"/>
      <c r="B32" s="613"/>
      <c r="C32" s="614"/>
      <c r="E32" s="282" t="s">
        <v>569</v>
      </c>
    </row>
    <row r="33" spans="1:8" ht="15" customHeight="1">
      <c r="A33" s="612"/>
      <c r="B33" s="613"/>
      <c r="C33" s="614"/>
      <c r="E33" s="282" t="s">
        <v>570</v>
      </c>
    </row>
    <row r="34" spans="1:8" ht="15" customHeight="1" thickBot="1">
      <c r="A34" s="615"/>
      <c r="B34" s="616"/>
      <c r="C34" s="617"/>
      <c r="E34" s="282" t="s">
        <v>571</v>
      </c>
    </row>
    <row r="35" spans="1:8">
      <c r="F35" s="431" t="s">
        <v>178</v>
      </c>
      <c r="G35" s="431"/>
      <c r="H35" s="431"/>
    </row>
    <row r="36" spans="1:8" ht="13.5" thickBot="1">
      <c r="A36" s="294" t="s">
        <v>572</v>
      </c>
      <c r="F36" s="430" t="s">
        <v>790</v>
      </c>
      <c r="G36" s="430"/>
      <c r="H36" s="430"/>
    </row>
    <row r="37" spans="1:8">
      <c r="A37" s="609" t="s">
        <v>577</v>
      </c>
      <c r="B37" s="610"/>
      <c r="C37" s="611"/>
      <c r="F37" s="430" t="s">
        <v>791</v>
      </c>
      <c r="G37" s="430"/>
      <c r="H37" s="430"/>
    </row>
    <row r="38" spans="1:8">
      <c r="A38" s="612"/>
      <c r="B38" s="613"/>
      <c r="C38" s="614"/>
      <c r="F38" s="430" t="s">
        <v>177</v>
      </c>
      <c r="G38" s="430"/>
      <c r="H38" s="430"/>
    </row>
    <row r="39" spans="1:8" ht="13.5" thickBot="1">
      <c r="A39" s="615"/>
      <c r="B39" s="616"/>
      <c r="C39" s="617"/>
      <c r="F39" s="557" t="s">
        <v>792</v>
      </c>
      <c r="G39" s="557"/>
      <c r="H39" s="557"/>
    </row>
    <row r="40" spans="1:8">
      <c r="F40" s="304"/>
      <c r="G40" s="305"/>
      <c r="H40" s="304"/>
    </row>
    <row r="42" spans="1:8">
      <c r="F42" s="304"/>
      <c r="G42" s="305"/>
      <c r="H42" s="304"/>
    </row>
  </sheetData>
  <mergeCells count="10">
    <mergeCell ref="A37:C39"/>
    <mergeCell ref="A11:A12"/>
    <mergeCell ref="B11:B12"/>
    <mergeCell ref="C11:C12"/>
    <mergeCell ref="E11:H11"/>
    <mergeCell ref="E22:H22"/>
    <mergeCell ref="A23:B23"/>
    <mergeCell ref="A25:C25"/>
    <mergeCell ref="A31:C34"/>
    <mergeCell ref="F39:H39"/>
  </mergeCells>
  <printOptions horizontalCentered="1"/>
  <pageMargins left="0.98425196850393704" right="0.39370078740157483" top="0.98425196850393704" bottom="0.39370078740157483" header="0" footer="0"/>
  <pageSetup paperSize="9" scale="8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11E5A-5BA6-4E88-BBE1-54B36A75C1C9}">
  <sheetPr>
    <tabColor theme="6" tint="0.79998168889431442"/>
    <pageSetUpPr fitToPage="1"/>
  </sheetPr>
  <dimension ref="A1:N39"/>
  <sheetViews>
    <sheetView view="pageBreakPreview" topLeftCell="A4" zoomScale="110" zoomScaleNormal="115" zoomScaleSheetLayoutView="110" workbookViewId="0">
      <selection activeCell="A5" sqref="A5"/>
    </sheetView>
  </sheetViews>
  <sheetFormatPr defaultRowHeight="12.75"/>
  <cols>
    <col min="1" max="1" width="13.7109375" style="282" customWidth="1"/>
    <col min="2" max="2" width="47.85546875" style="282" customWidth="1"/>
    <col min="3" max="3" width="17.5703125" style="282" customWidth="1"/>
    <col min="4" max="4" width="5.28515625" style="282" customWidth="1"/>
    <col min="5" max="5" width="13.5703125" style="282" customWidth="1"/>
    <col min="6" max="8" width="12.85546875" style="282" customWidth="1"/>
    <col min="9" max="9" width="12.140625" style="282" customWidth="1"/>
    <col min="10" max="256" width="9.140625" style="282"/>
    <col min="257" max="257" width="13.7109375" style="282" customWidth="1"/>
    <col min="258" max="258" width="47.85546875" style="282" customWidth="1"/>
    <col min="259" max="259" width="17.5703125" style="282" customWidth="1"/>
    <col min="260" max="260" width="5.28515625" style="282" customWidth="1"/>
    <col min="261" max="261" width="13.5703125" style="282" customWidth="1"/>
    <col min="262" max="264" width="12.85546875" style="282" customWidth="1"/>
    <col min="265" max="265" width="12.140625" style="282" customWidth="1"/>
    <col min="266" max="512" width="9.140625" style="282"/>
    <col min="513" max="513" width="13.7109375" style="282" customWidth="1"/>
    <col min="514" max="514" width="47.85546875" style="282" customWidth="1"/>
    <col min="515" max="515" width="17.5703125" style="282" customWidth="1"/>
    <col min="516" max="516" width="5.28515625" style="282" customWidth="1"/>
    <col min="517" max="517" width="13.5703125" style="282" customWidth="1"/>
    <col min="518" max="520" width="12.85546875" style="282" customWidth="1"/>
    <col min="521" max="521" width="12.140625" style="282" customWidth="1"/>
    <col min="522" max="768" width="9.140625" style="282"/>
    <col min="769" max="769" width="13.7109375" style="282" customWidth="1"/>
    <col min="770" max="770" width="47.85546875" style="282" customWidth="1"/>
    <col min="771" max="771" width="17.5703125" style="282" customWidth="1"/>
    <col min="772" max="772" width="5.28515625" style="282" customWidth="1"/>
    <col min="773" max="773" width="13.5703125" style="282" customWidth="1"/>
    <col min="774" max="776" width="12.85546875" style="282" customWidth="1"/>
    <col min="777" max="777" width="12.140625" style="282" customWidth="1"/>
    <col min="778" max="1024" width="9.140625" style="282"/>
    <col min="1025" max="1025" width="13.7109375" style="282" customWidth="1"/>
    <col min="1026" max="1026" width="47.85546875" style="282" customWidth="1"/>
    <col min="1027" max="1027" width="17.5703125" style="282" customWidth="1"/>
    <col min="1028" max="1028" width="5.28515625" style="282" customWidth="1"/>
    <col min="1029" max="1029" width="13.5703125" style="282" customWidth="1"/>
    <col min="1030" max="1032" width="12.85546875" style="282" customWidth="1"/>
    <col min="1033" max="1033" width="12.140625" style="282" customWidth="1"/>
    <col min="1034" max="1280" width="9.140625" style="282"/>
    <col min="1281" max="1281" width="13.7109375" style="282" customWidth="1"/>
    <col min="1282" max="1282" width="47.85546875" style="282" customWidth="1"/>
    <col min="1283" max="1283" width="17.5703125" style="282" customWidth="1"/>
    <col min="1284" max="1284" width="5.28515625" style="282" customWidth="1"/>
    <col min="1285" max="1285" width="13.5703125" style="282" customWidth="1"/>
    <col min="1286" max="1288" width="12.85546875" style="282" customWidth="1"/>
    <col min="1289" max="1289" width="12.140625" style="282" customWidth="1"/>
    <col min="1290" max="1536" width="9.140625" style="282"/>
    <col min="1537" max="1537" width="13.7109375" style="282" customWidth="1"/>
    <col min="1538" max="1538" width="47.85546875" style="282" customWidth="1"/>
    <col min="1539" max="1539" width="17.5703125" style="282" customWidth="1"/>
    <col min="1540" max="1540" width="5.28515625" style="282" customWidth="1"/>
    <col min="1541" max="1541" width="13.5703125" style="282" customWidth="1"/>
    <col min="1542" max="1544" width="12.85546875" style="282" customWidth="1"/>
    <col min="1545" max="1545" width="12.140625" style="282" customWidth="1"/>
    <col min="1546" max="1792" width="9.140625" style="282"/>
    <col min="1793" max="1793" width="13.7109375" style="282" customWidth="1"/>
    <col min="1794" max="1794" width="47.85546875" style="282" customWidth="1"/>
    <col min="1795" max="1795" width="17.5703125" style="282" customWidth="1"/>
    <col min="1796" max="1796" width="5.28515625" style="282" customWidth="1"/>
    <col min="1797" max="1797" width="13.5703125" style="282" customWidth="1"/>
    <col min="1798" max="1800" width="12.85546875" style="282" customWidth="1"/>
    <col min="1801" max="1801" width="12.140625" style="282" customWidth="1"/>
    <col min="1802" max="2048" width="9.140625" style="282"/>
    <col min="2049" max="2049" width="13.7109375" style="282" customWidth="1"/>
    <col min="2050" max="2050" width="47.85546875" style="282" customWidth="1"/>
    <col min="2051" max="2051" width="17.5703125" style="282" customWidth="1"/>
    <col min="2052" max="2052" width="5.28515625" style="282" customWidth="1"/>
    <col min="2053" max="2053" width="13.5703125" style="282" customWidth="1"/>
    <col min="2054" max="2056" width="12.85546875" style="282" customWidth="1"/>
    <col min="2057" max="2057" width="12.140625" style="282" customWidth="1"/>
    <col min="2058" max="2304" width="9.140625" style="282"/>
    <col min="2305" max="2305" width="13.7109375" style="282" customWidth="1"/>
    <col min="2306" max="2306" width="47.85546875" style="282" customWidth="1"/>
    <col min="2307" max="2307" width="17.5703125" style="282" customWidth="1"/>
    <col min="2308" max="2308" width="5.28515625" style="282" customWidth="1"/>
    <col min="2309" max="2309" width="13.5703125" style="282" customWidth="1"/>
    <col min="2310" max="2312" width="12.85546875" style="282" customWidth="1"/>
    <col min="2313" max="2313" width="12.140625" style="282" customWidth="1"/>
    <col min="2314" max="2560" width="9.140625" style="282"/>
    <col min="2561" max="2561" width="13.7109375" style="282" customWidth="1"/>
    <col min="2562" max="2562" width="47.85546875" style="282" customWidth="1"/>
    <col min="2563" max="2563" width="17.5703125" style="282" customWidth="1"/>
    <col min="2564" max="2564" width="5.28515625" style="282" customWidth="1"/>
    <col min="2565" max="2565" width="13.5703125" style="282" customWidth="1"/>
    <col min="2566" max="2568" width="12.85546875" style="282" customWidth="1"/>
    <col min="2569" max="2569" width="12.140625" style="282" customWidth="1"/>
    <col min="2570" max="2816" width="9.140625" style="282"/>
    <col min="2817" max="2817" width="13.7109375" style="282" customWidth="1"/>
    <col min="2818" max="2818" width="47.85546875" style="282" customWidth="1"/>
    <col min="2819" max="2819" width="17.5703125" style="282" customWidth="1"/>
    <col min="2820" max="2820" width="5.28515625" style="282" customWidth="1"/>
    <col min="2821" max="2821" width="13.5703125" style="282" customWidth="1"/>
    <col min="2822" max="2824" width="12.85546875" style="282" customWidth="1"/>
    <col min="2825" max="2825" width="12.140625" style="282" customWidth="1"/>
    <col min="2826" max="3072" width="9.140625" style="282"/>
    <col min="3073" max="3073" width="13.7109375" style="282" customWidth="1"/>
    <col min="3074" max="3074" width="47.85546875" style="282" customWidth="1"/>
    <col min="3075" max="3075" width="17.5703125" style="282" customWidth="1"/>
    <col min="3076" max="3076" width="5.28515625" style="282" customWidth="1"/>
    <col min="3077" max="3077" width="13.5703125" style="282" customWidth="1"/>
    <col min="3078" max="3080" width="12.85546875" style="282" customWidth="1"/>
    <col min="3081" max="3081" width="12.140625" style="282" customWidth="1"/>
    <col min="3082" max="3328" width="9.140625" style="282"/>
    <col min="3329" max="3329" width="13.7109375" style="282" customWidth="1"/>
    <col min="3330" max="3330" width="47.85546875" style="282" customWidth="1"/>
    <col min="3331" max="3331" width="17.5703125" style="282" customWidth="1"/>
    <col min="3332" max="3332" width="5.28515625" style="282" customWidth="1"/>
    <col min="3333" max="3333" width="13.5703125" style="282" customWidth="1"/>
    <col min="3334" max="3336" width="12.85546875" style="282" customWidth="1"/>
    <col min="3337" max="3337" width="12.140625" style="282" customWidth="1"/>
    <col min="3338" max="3584" width="9.140625" style="282"/>
    <col min="3585" max="3585" width="13.7109375" style="282" customWidth="1"/>
    <col min="3586" max="3586" width="47.85546875" style="282" customWidth="1"/>
    <col min="3587" max="3587" width="17.5703125" style="282" customWidth="1"/>
    <col min="3588" max="3588" width="5.28515625" style="282" customWidth="1"/>
    <col min="3589" max="3589" width="13.5703125" style="282" customWidth="1"/>
    <col min="3590" max="3592" width="12.85546875" style="282" customWidth="1"/>
    <col min="3593" max="3593" width="12.140625" style="282" customWidth="1"/>
    <col min="3594" max="3840" width="9.140625" style="282"/>
    <col min="3841" max="3841" width="13.7109375" style="282" customWidth="1"/>
    <col min="3842" max="3842" width="47.85546875" style="282" customWidth="1"/>
    <col min="3843" max="3843" width="17.5703125" style="282" customWidth="1"/>
    <col min="3844" max="3844" width="5.28515625" style="282" customWidth="1"/>
    <col min="3845" max="3845" width="13.5703125" style="282" customWidth="1"/>
    <col min="3846" max="3848" width="12.85546875" style="282" customWidth="1"/>
    <col min="3849" max="3849" width="12.140625" style="282" customWidth="1"/>
    <col min="3850" max="4096" width="9.140625" style="282"/>
    <col min="4097" max="4097" width="13.7109375" style="282" customWidth="1"/>
    <col min="4098" max="4098" width="47.85546875" style="282" customWidth="1"/>
    <col min="4099" max="4099" width="17.5703125" style="282" customWidth="1"/>
    <col min="4100" max="4100" width="5.28515625" style="282" customWidth="1"/>
    <col min="4101" max="4101" width="13.5703125" style="282" customWidth="1"/>
    <col min="4102" max="4104" width="12.85546875" style="282" customWidth="1"/>
    <col min="4105" max="4105" width="12.140625" style="282" customWidth="1"/>
    <col min="4106" max="4352" width="9.140625" style="282"/>
    <col min="4353" max="4353" width="13.7109375" style="282" customWidth="1"/>
    <col min="4354" max="4354" width="47.85546875" style="282" customWidth="1"/>
    <col min="4355" max="4355" width="17.5703125" style="282" customWidth="1"/>
    <col min="4356" max="4356" width="5.28515625" style="282" customWidth="1"/>
    <col min="4357" max="4357" width="13.5703125" style="282" customWidth="1"/>
    <col min="4358" max="4360" width="12.85546875" style="282" customWidth="1"/>
    <col min="4361" max="4361" width="12.140625" style="282" customWidth="1"/>
    <col min="4362" max="4608" width="9.140625" style="282"/>
    <col min="4609" max="4609" width="13.7109375" style="282" customWidth="1"/>
    <col min="4610" max="4610" width="47.85546875" style="282" customWidth="1"/>
    <col min="4611" max="4611" width="17.5703125" style="282" customWidth="1"/>
    <col min="4612" max="4612" width="5.28515625" style="282" customWidth="1"/>
    <col min="4613" max="4613" width="13.5703125" style="282" customWidth="1"/>
    <col min="4614" max="4616" width="12.85546875" style="282" customWidth="1"/>
    <col min="4617" max="4617" width="12.140625" style="282" customWidth="1"/>
    <col min="4618" max="4864" width="9.140625" style="282"/>
    <col min="4865" max="4865" width="13.7109375" style="282" customWidth="1"/>
    <col min="4866" max="4866" width="47.85546875" style="282" customWidth="1"/>
    <col min="4867" max="4867" width="17.5703125" style="282" customWidth="1"/>
    <col min="4868" max="4868" width="5.28515625" style="282" customWidth="1"/>
    <col min="4869" max="4869" width="13.5703125" style="282" customWidth="1"/>
    <col min="4870" max="4872" width="12.85546875" style="282" customWidth="1"/>
    <col min="4873" max="4873" width="12.140625" style="282" customWidth="1"/>
    <col min="4874" max="5120" width="9.140625" style="282"/>
    <col min="5121" max="5121" width="13.7109375" style="282" customWidth="1"/>
    <col min="5122" max="5122" width="47.85546875" style="282" customWidth="1"/>
    <col min="5123" max="5123" width="17.5703125" style="282" customWidth="1"/>
    <col min="5124" max="5124" width="5.28515625" style="282" customWidth="1"/>
    <col min="5125" max="5125" width="13.5703125" style="282" customWidth="1"/>
    <col min="5126" max="5128" width="12.85546875" style="282" customWidth="1"/>
    <col min="5129" max="5129" width="12.140625" style="282" customWidth="1"/>
    <col min="5130" max="5376" width="9.140625" style="282"/>
    <col min="5377" max="5377" width="13.7109375" style="282" customWidth="1"/>
    <col min="5378" max="5378" width="47.85546875" style="282" customWidth="1"/>
    <col min="5379" max="5379" width="17.5703125" style="282" customWidth="1"/>
    <col min="5380" max="5380" width="5.28515625" style="282" customWidth="1"/>
    <col min="5381" max="5381" width="13.5703125" style="282" customWidth="1"/>
    <col min="5382" max="5384" width="12.85546875" style="282" customWidth="1"/>
    <col min="5385" max="5385" width="12.140625" style="282" customWidth="1"/>
    <col min="5386" max="5632" width="9.140625" style="282"/>
    <col min="5633" max="5633" width="13.7109375" style="282" customWidth="1"/>
    <col min="5634" max="5634" width="47.85546875" style="282" customWidth="1"/>
    <col min="5635" max="5635" width="17.5703125" style="282" customWidth="1"/>
    <col min="5636" max="5636" width="5.28515625" style="282" customWidth="1"/>
    <col min="5637" max="5637" width="13.5703125" style="282" customWidth="1"/>
    <col min="5638" max="5640" width="12.85546875" style="282" customWidth="1"/>
    <col min="5641" max="5641" width="12.140625" style="282" customWidth="1"/>
    <col min="5642" max="5888" width="9.140625" style="282"/>
    <col min="5889" max="5889" width="13.7109375" style="282" customWidth="1"/>
    <col min="5890" max="5890" width="47.85546875" style="282" customWidth="1"/>
    <col min="5891" max="5891" width="17.5703125" style="282" customWidth="1"/>
    <col min="5892" max="5892" width="5.28515625" style="282" customWidth="1"/>
    <col min="5893" max="5893" width="13.5703125" style="282" customWidth="1"/>
    <col min="5894" max="5896" width="12.85546875" style="282" customWidth="1"/>
    <col min="5897" max="5897" width="12.140625" style="282" customWidth="1"/>
    <col min="5898" max="6144" width="9.140625" style="282"/>
    <col min="6145" max="6145" width="13.7109375" style="282" customWidth="1"/>
    <col min="6146" max="6146" width="47.85546875" style="282" customWidth="1"/>
    <col min="6147" max="6147" width="17.5703125" style="282" customWidth="1"/>
    <col min="6148" max="6148" width="5.28515625" style="282" customWidth="1"/>
    <col min="6149" max="6149" width="13.5703125" style="282" customWidth="1"/>
    <col min="6150" max="6152" width="12.85546875" style="282" customWidth="1"/>
    <col min="6153" max="6153" width="12.140625" style="282" customWidth="1"/>
    <col min="6154" max="6400" width="9.140625" style="282"/>
    <col min="6401" max="6401" width="13.7109375" style="282" customWidth="1"/>
    <col min="6402" max="6402" width="47.85546875" style="282" customWidth="1"/>
    <col min="6403" max="6403" width="17.5703125" style="282" customWidth="1"/>
    <col min="6404" max="6404" width="5.28515625" style="282" customWidth="1"/>
    <col min="6405" max="6405" width="13.5703125" style="282" customWidth="1"/>
    <col min="6406" max="6408" width="12.85546875" style="282" customWidth="1"/>
    <col min="6409" max="6409" width="12.140625" style="282" customWidth="1"/>
    <col min="6410" max="6656" width="9.140625" style="282"/>
    <col min="6657" max="6657" width="13.7109375" style="282" customWidth="1"/>
    <col min="6658" max="6658" width="47.85546875" style="282" customWidth="1"/>
    <col min="6659" max="6659" width="17.5703125" style="282" customWidth="1"/>
    <col min="6660" max="6660" width="5.28515625" style="282" customWidth="1"/>
    <col min="6661" max="6661" width="13.5703125" style="282" customWidth="1"/>
    <col min="6662" max="6664" width="12.85546875" style="282" customWidth="1"/>
    <col min="6665" max="6665" width="12.140625" style="282" customWidth="1"/>
    <col min="6666" max="6912" width="9.140625" style="282"/>
    <col min="6913" max="6913" width="13.7109375" style="282" customWidth="1"/>
    <col min="6914" max="6914" width="47.85546875" style="282" customWidth="1"/>
    <col min="6915" max="6915" width="17.5703125" style="282" customWidth="1"/>
    <col min="6916" max="6916" width="5.28515625" style="282" customWidth="1"/>
    <col min="6917" max="6917" width="13.5703125" style="282" customWidth="1"/>
    <col min="6918" max="6920" width="12.85546875" style="282" customWidth="1"/>
    <col min="6921" max="6921" width="12.140625" style="282" customWidth="1"/>
    <col min="6922" max="7168" width="9.140625" style="282"/>
    <col min="7169" max="7169" width="13.7109375" style="282" customWidth="1"/>
    <col min="7170" max="7170" width="47.85546875" style="282" customWidth="1"/>
    <col min="7171" max="7171" width="17.5703125" style="282" customWidth="1"/>
    <col min="7172" max="7172" width="5.28515625" style="282" customWidth="1"/>
    <col min="7173" max="7173" width="13.5703125" style="282" customWidth="1"/>
    <col min="7174" max="7176" width="12.85546875" style="282" customWidth="1"/>
    <col min="7177" max="7177" width="12.140625" style="282" customWidth="1"/>
    <col min="7178" max="7424" width="9.140625" style="282"/>
    <col min="7425" max="7425" width="13.7109375" style="282" customWidth="1"/>
    <col min="7426" max="7426" width="47.85546875" style="282" customWidth="1"/>
    <col min="7427" max="7427" width="17.5703125" style="282" customWidth="1"/>
    <col min="7428" max="7428" width="5.28515625" style="282" customWidth="1"/>
    <col min="7429" max="7429" width="13.5703125" style="282" customWidth="1"/>
    <col min="7430" max="7432" width="12.85546875" style="282" customWidth="1"/>
    <col min="7433" max="7433" width="12.140625" style="282" customWidth="1"/>
    <col min="7434" max="7680" width="9.140625" style="282"/>
    <col min="7681" max="7681" width="13.7109375" style="282" customWidth="1"/>
    <col min="7682" max="7682" width="47.85546875" style="282" customWidth="1"/>
    <col min="7683" max="7683" width="17.5703125" style="282" customWidth="1"/>
    <col min="7684" max="7684" width="5.28515625" style="282" customWidth="1"/>
    <col min="7685" max="7685" width="13.5703125" style="282" customWidth="1"/>
    <col min="7686" max="7688" width="12.85546875" style="282" customWidth="1"/>
    <col min="7689" max="7689" width="12.140625" style="282" customWidth="1"/>
    <col min="7690" max="7936" width="9.140625" style="282"/>
    <col min="7937" max="7937" width="13.7109375" style="282" customWidth="1"/>
    <col min="7938" max="7938" width="47.85546875" style="282" customWidth="1"/>
    <col min="7939" max="7939" width="17.5703125" style="282" customWidth="1"/>
    <col min="7940" max="7940" width="5.28515625" style="282" customWidth="1"/>
    <col min="7941" max="7941" width="13.5703125" style="282" customWidth="1"/>
    <col min="7942" max="7944" width="12.85546875" style="282" customWidth="1"/>
    <col min="7945" max="7945" width="12.140625" style="282" customWidth="1"/>
    <col min="7946" max="8192" width="9.140625" style="282"/>
    <col min="8193" max="8193" width="13.7109375" style="282" customWidth="1"/>
    <col min="8194" max="8194" width="47.85546875" style="282" customWidth="1"/>
    <col min="8195" max="8195" width="17.5703125" style="282" customWidth="1"/>
    <col min="8196" max="8196" width="5.28515625" style="282" customWidth="1"/>
    <col min="8197" max="8197" width="13.5703125" style="282" customWidth="1"/>
    <col min="8198" max="8200" width="12.85546875" style="282" customWidth="1"/>
    <col min="8201" max="8201" width="12.140625" style="282" customWidth="1"/>
    <col min="8202" max="8448" width="9.140625" style="282"/>
    <col min="8449" max="8449" width="13.7109375" style="282" customWidth="1"/>
    <col min="8450" max="8450" width="47.85546875" style="282" customWidth="1"/>
    <col min="8451" max="8451" width="17.5703125" style="282" customWidth="1"/>
    <col min="8452" max="8452" width="5.28515625" style="282" customWidth="1"/>
    <col min="8453" max="8453" width="13.5703125" style="282" customWidth="1"/>
    <col min="8454" max="8456" width="12.85546875" style="282" customWidth="1"/>
    <col min="8457" max="8457" width="12.140625" style="282" customWidth="1"/>
    <col min="8458" max="8704" width="9.140625" style="282"/>
    <col min="8705" max="8705" width="13.7109375" style="282" customWidth="1"/>
    <col min="8706" max="8706" width="47.85546875" style="282" customWidth="1"/>
    <col min="8707" max="8707" width="17.5703125" style="282" customWidth="1"/>
    <col min="8708" max="8708" width="5.28515625" style="282" customWidth="1"/>
    <col min="8709" max="8709" width="13.5703125" style="282" customWidth="1"/>
    <col min="8710" max="8712" width="12.85546875" style="282" customWidth="1"/>
    <col min="8713" max="8713" width="12.140625" style="282" customWidth="1"/>
    <col min="8714" max="8960" width="9.140625" style="282"/>
    <col min="8961" max="8961" width="13.7109375" style="282" customWidth="1"/>
    <col min="8962" max="8962" width="47.85546875" style="282" customWidth="1"/>
    <col min="8963" max="8963" width="17.5703125" style="282" customWidth="1"/>
    <col min="8964" max="8964" width="5.28515625" style="282" customWidth="1"/>
    <col min="8965" max="8965" width="13.5703125" style="282" customWidth="1"/>
    <col min="8966" max="8968" width="12.85546875" style="282" customWidth="1"/>
    <col min="8969" max="8969" width="12.140625" style="282" customWidth="1"/>
    <col min="8970" max="9216" width="9.140625" style="282"/>
    <col min="9217" max="9217" width="13.7109375" style="282" customWidth="1"/>
    <col min="9218" max="9218" width="47.85546875" style="282" customWidth="1"/>
    <col min="9219" max="9219" width="17.5703125" style="282" customWidth="1"/>
    <col min="9220" max="9220" width="5.28515625" style="282" customWidth="1"/>
    <col min="9221" max="9221" width="13.5703125" style="282" customWidth="1"/>
    <col min="9222" max="9224" width="12.85546875" style="282" customWidth="1"/>
    <col min="9225" max="9225" width="12.140625" style="282" customWidth="1"/>
    <col min="9226" max="9472" width="9.140625" style="282"/>
    <col min="9473" max="9473" width="13.7109375" style="282" customWidth="1"/>
    <col min="9474" max="9474" width="47.85546875" style="282" customWidth="1"/>
    <col min="9475" max="9475" width="17.5703125" style="282" customWidth="1"/>
    <col min="9476" max="9476" width="5.28515625" style="282" customWidth="1"/>
    <col min="9477" max="9477" width="13.5703125" style="282" customWidth="1"/>
    <col min="9478" max="9480" width="12.85546875" style="282" customWidth="1"/>
    <col min="9481" max="9481" width="12.140625" style="282" customWidth="1"/>
    <col min="9482" max="9728" width="9.140625" style="282"/>
    <col min="9729" max="9729" width="13.7109375" style="282" customWidth="1"/>
    <col min="9730" max="9730" width="47.85546875" style="282" customWidth="1"/>
    <col min="9731" max="9731" width="17.5703125" style="282" customWidth="1"/>
    <col min="9732" max="9732" width="5.28515625" style="282" customWidth="1"/>
    <col min="9733" max="9733" width="13.5703125" style="282" customWidth="1"/>
    <col min="9734" max="9736" width="12.85546875" style="282" customWidth="1"/>
    <col min="9737" max="9737" width="12.140625" style="282" customWidth="1"/>
    <col min="9738" max="9984" width="9.140625" style="282"/>
    <col min="9985" max="9985" width="13.7109375" style="282" customWidth="1"/>
    <col min="9986" max="9986" width="47.85546875" style="282" customWidth="1"/>
    <col min="9987" max="9987" width="17.5703125" style="282" customWidth="1"/>
    <col min="9988" max="9988" width="5.28515625" style="282" customWidth="1"/>
    <col min="9989" max="9989" width="13.5703125" style="282" customWidth="1"/>
    <col min="9990" max="9992" width="12.85546875" style="282" customWidth="1"/>
    <col min="9993" max="9993" width="12.140625" style="282" customWidth="1"/>
    <col min="9994" max="10240" width="9.140625" style="282"/>
    <col min="10241" max="10241" width="13.7109375" style="282" customWidth="1"/>
    <col min="10242" max="10242" width="47.85546875" style="282" customWidth="1"/>
    <col min="10243" max="10243" width="17.5703125" style="282" customWidth="1"/>
    <col min="10244" max="10244" width="5.28515625" style="282" customWidth="1"/>
    <col min="10245" max="10245" width="13.5703125" style="282" customWidth="1"/>
    <col min="10246" max="10248" width="12.85546875" style="282" customWidth="1"/>
    <col min="10249" max="10249" width="12.140625" style="282" customWidth="1"/>
    <col min="10250" max="10496" width="9.140625" style="282"/>
    <col min="10497" max="10497" width="13.7109375" style="282" customWidth="1"/>
    <col min="10498" max="10498" width="47.85546875" style="282" customWidth="1"/>
    <col min="10499" max="10499" width="17.5703125" style="282" customWidth="1"/>
    <col min="10500" max="10500" width="5.28515625" style="282" customWidth="1"/>
    <col min="10501" max="10501" width="13.5703125" style="282" customWidth="1"/>
    <col min="10502" max="10504" width="12.85546875" style="282" customWidth="1"/>
    <col min="10505" max="10505" width="12.140625" style="282" customWidth="1"/>
    <col min="10506" max="10752" width="9.140625" style="282"/>
    <col min="10753" max="10753" width="13.7109375" style="282" customWidth="1"/>
    <col min="10754" max="10754" width="47.85546875" style="282" customWidth="1"/>
    <col min="10755" max="10755" width="17.5703125" style="282" customWidth="1"/>
    <col min="10756" max="10756" width="5.28515625" style="282" customWidth="1"/>
    <col min="10757" max="10757" width="13.5703125" style="282" customWidth="1"/>
    <col min="10758" max="10760" width="12.85546875" style="282" customWidth="1"/>
    <col min="10761" max="10761" width="12.140625" style="282" customWidth="1"/>
    <col min="10762" max="11008" width="9.140625" style="282"/>
    <col min="11009" max="11009" width="13.7109375" style="282" customWidth="1"/>
    <col min="11010" max="11010" width="47.85546875" style="282" customWidth="1"/>
    <col min="11011" max="11011" width="17.5703125" style="282" customWidth="1"/>
    <col min="11012" max="11012" width="5.28515625" style="282" customWidth="1"/>
    <col min="11013" max="11013" width="13.5703125" style="282" customWidth="1"/>
    <col min="11014" max="11016" width="12.85546875" style="282" customWidth="1"/>
    <col min="11017" max="11017" width="12.140625" style="282" customWidth="1"/>
    <col min="11018" max="11264" width="9.140625" style="282"/>
    <col min="11265" max="11265" width="13.7109375" style="282" customWidth="1"/>
    <col min="11266" max="11266" width="47.85546875" style="282" customWidth="1"/>
    <col min="11267" max="11267" width="17.5703125" style="282" customWidth="1"/>
    <col min="11268" max="11268" width="5.28515625" style="282" customWidth="1"/>
    <col min="11269" max="11269" width="13.5703125" style="282" customWidth="1"/>
    <col min="11270" max="11272" width="12.85546875" style="282" customWidth="1"/>
    <col min="11273" max="11273" width="12.140625" style="282" customWidth="1"/>
    <col min="11274" max="11520" width="9.140625" style="282"/>
    <col min="11521" max="11521" width="13.7109375" style="282" customWidth="1"/>
    <col min="11522" max="11522" width="47.85546875" style="282" customWidth="1"/>
    <col min="11523" max="11523" width="17.5703125" style="282" customWidth="1"/>
    <col min="11524" max="11524" width="5.28515625" style="282" customWidth="1"/>
    <col min="11525" max="11525" width="13.5703125" style="282" customWidth="1"/>
    <col min="11526" max="11528" width="12.85546875" style="282" customWidth="1"/>
    <col min="11529" max="11529" width="12.140625" style="282" customWidth="1"/>
    <col min="11530" max="11776" width="9.140625" style="282"/>
    <col min="11777" max="11777" width="13.7109375" style="282" customWidth="1"/>
    <col min="11778" max="11778" width="47.85546875" style="282" customWidth="1"/>
    <col min="11779" max="11779" width="17.5703125" style="282" customWidth="1"/>
    <col min="11780" max="11780" width="5.28515625" style="282" customWidth="1"/>
    <col min="11781" max="11781" width="13.5703125" style="282" customWidth="1"/>
    <col min="11782" max="11784" width="12.85546875" style="282" customWidth="1"/>
    <col min="11785" max="11785" width="12.140625" style="282" customWidth="1"/>
    <col min="11786" max="12032" width="9.140625" style="282"/>
    <col min="12033" max="12033" width="13.7109375" style="282" customWidth="1"/>
    <col min="12034" max="12034" width="47.85546875" style="282" customWidth="1"/>
    <col min="12035" max="12035" width="17.5703125" style="282" customWidth="1"/>
    <col min="12036" max="12036" width="5.28515625" style="282" customWidth="1"/>
    <col min="12037" max="12037" width="13.5703125" style="282" customWidth="1"/>
    <col min="12038" max="12040" width="12.85546875" style="282" customWidth="1"/>
    <col min="12041" max="12041" width="12.140625" style="282" customWidth="1"/>
    <col min="12042" max="12288" width="9.140625" style="282"/>
    <col min="12289" max="12289" width="13.7109375" style="282" customWidth="1"/>
    <col min="12290" max="12290" width="47.85546875" style="282" customWidth="1"/>
    <col min="12291" max="12291" width="17.5703125" style="282" customWidth="1"/>
    <col min="12292" max="12292" width="5.28515625" style="282" customWidth="1"/>
    <col min="12293" max="12293" width="13.5703125" style="282" customWidth="1"/>
    <col min="12294" max="12296" width="12.85546875" style="282" customWidth="1"/>
    <col min="12297" max="12297" width="12.140625" style="282" customWidth="1"/>
    <col min="12298" max="12544" width="9.140625" style="282"/>
    <col min="12545" max="12545" width="13.7109375" style="282" customWidth="1"/>
    <col min="12546" max="12546" width="47.85546875" style="282" customWidth="1"/>
    <col min="12547" max="12547" width="17.5703125" style="282" customWidth="1"/>
    <col min="12548" max="12548" width="5.28515625" style="282" customWidth="1"/>
    <col min="12549" max="12549" width="13.5703125" style="282" customWidth="1"/>
    <col min="12550" max="12552" width="12.85546875" style="282" customWidth="1"/>
    <col min="12553" max="12553" width="12.140625" style="282" customWidth="1"/>
    <col min="12554" max="12800" width="9.140625" style="282"/>
    <col min="12801" max="12801" width="13.7109375" style="282" customWidth="1"/>
    <col min="12802" max="12802" width="47.85546875" style="282" customWidth="1"/>
    <col min="12803" max="12803" width="17.5703125" style="282" customWidth="1"/>
    <col min="12804" max="12804" width="5.28515625" style="282" customWidth="1"/>
    <col min="12805" max="12805" width="13.5703125" style="282" customWidth="1"/>
    <col min="12806" max="12808" width="12.85546875" style="282" customWidth="1"/>
    <col min="12809" max="12809" width="12.140625" style="282" customWidth="1"/>
    <col min="12810" max="13056" width="9.140625" style="282"/>
    <col min="13057" max="13057" width="13.7109375" style="282" customWidth="1"/>
    <col min="13058" max="13058" width="47.85546875" style="282" customWidth="1"/>
    <col min="13059" max="13059" width="17.5703125" style="282" customWidth="1"/>
    <col min="13060" max="13060" width="5.28515625" style="282" customWidth="1"/>
    <col min="13061" max="13061" width="13.5703125" style="282" customWidth="1"/>
    <col min="13062" max="13064" width="12.85546875" style="282" customWidth="1"/>
    <col min="13065" max="13065" width="12.140625" style="282" customWidth="1"/>
    <col min="13066" max="13312" width="9.140625" style="282"/>
    <col min="13313" max="13313" width="13.7109375" style="282" customWidth="1"/>
    <col min="13314" max="13314" width="47.85546875" style="282" customWidth="1"/>
    <col min="13315" max="13315" width="17.5703125" style="282" customWidth="1"/>
    <col min="13316" max="13316" width="5.28515625" style="282" customWidth="1"/>
    <col min="13317" max="13317" width="13.5703125" style="282" customWidth="1"/>
    <col min="13318" max="13320" width="12.85546875" style="282" customWidth="1"/>
    <col min="13321" max="13321" width="12.140625" style="282" customWidth="1"/>
    <col min="13322" max="13568" width="9.140625" style="282"/>
    <col min="13569" max="13569" width="13.7109375" style="282" customWidth="1"/>
    <col min="13570" max="13570" width="47.85546875" style="282" customWidth="1"/>
    <col min="13571" max="13571" width="17.5703125" style="282" customWidth="1"/>
    <col min="13572" max="13572" width="5.28515625" style="282" customWidth="1"/>
    <col min="13573" max="13573" width="13.5703125" style="282" customWidth="1"/>
    <col min="13574" max="13576" width="12.85546875" style="282" customWidth="1"/>
    <col min="13577" max="13577" width="12.140625" style="282" customWidth="1"/>
    <col min="13578" max="13824" width="9.140625" style="282"/>
    <col min="13825" max="13825" width="13.7109375" style="282" customWidth="1"/>
    <col min="13826" max="13826" width="47.85546875" style="282" customWidth="1"/>
    <col min="13827" max="13827" width="17.5703125" style="282" customWidth="1"/>
    <col min="13828" max="13828" width="5.28515625" style="282" customWidth="1"/>
    <col min="13829" max="13829" width="13.5703125" style="282" customWidth="1"/>
    <col min="13830" max="13832" width="12.85546875" style="282" customWidth="1"/>
    <col min="13833" max="13833" width="12.140625" style="282" customWidth="1"/>
    <col min="13834" max="14080" width="9.140625" style="282"/>
    <col min="14081" max="14081" width="13.7109375" style="282" customWidth="1"/>
    <col min="14082" max="14082" width="47.85546875" style="282" customWidth="1"/>
    <col min="14083" max="14083" width="17.5703125" style="282" customWidth="1"/>
    <col min="14084" max="14084" width="5.28515625" style="282" customWidth="1"/>
    <col min="14085" max="14085" width="13.5703125" style="282" customWidth="1"/>
    <col min="14086" max="14088" width="12.85546875" style="282" customWidth="1"/>
    <col min="14089" max="14089" width="12.140625" style="282" customWidth="1"/>
    <col min="14090" max="14336" width="9.140625" style="282"/>
    <col min="14337" max="14337" width="13.7109375" style="282" customWidth="1"/>
    <col min="14338" max="14338" width="47.85546875" style="282" customWidth="1"/>
    <col min="14339" max="14339" width="17.5703125" style="282" customWidth="1"/>
    <col min="14340" max="14340" width="5.28515625" style="282" customWidth="1"/>
    <col min="14341" max="14341" width="13.5703125" style="282" customWidth="1"/>
    <col min="14342" max="14344" width="12.85546875" style="282" customWidth="1"/>
    <col min="14345" max="14345" width="12.140625" style="282" customWidth="1"/>
    <col min="14346" max="14592" width="9.140625" style="282"/>
    <col min="14593" max="14593" width="13.7109375" style="282" customWidth="1"/>
    <col min="14594" max="14594" width="47.85546875" style="282" customWidth="1"/>
    <col min="14595" max="14595" width="17.5703125" style="282" customWidth="1"/>
    <col min="14596" max="14596" width="5.28515625" style="282" customWidth="1"/>
    <col min="14597" max="14597" width="13.5703125" style="282" customWidth="1"/>
    <col min="14598" max="14600" width="12.85546875" style="282" customWidth="1"/>
    <col min="14601" max="14601" width="12.140625" style="282" customWidth="1"/>
    <col min="14602" max="14848" width="9.140625" style="282"/>
    <col min="14849" max="14849" width="13.7109375" style="282" customWidth="1"/>
    <col min="14850" max="14850" width="47.85546875" style="282" customWidth="1"/>
    <col min="14851" max="14851" width="17.5703125" style="282" customWidth="1"/>
    <col min="14852" max="14852" width="5.28515625" style="282" customWidth="1"/>
    <col min="14853" max="14853" width="13.5703125" style="282" customWidth="1"/>
    <col min="14854" max="14856" width="12.85546875" style="282" customWidth="1"/>
    <col min="14857" max="14857" width="12.140625" style="282" customWidth="1"/>
    <col min="14858" max="15104" width="9.140625" style="282"/>
    <col min="15105" max="15105" width="13.7109375" style="282" customWidth="1"/>
    <col min="15106" max="15106" width="47.85546875" style="282" customWidth="1"/>
    <col min="15107" max="15107" width="17.5703125" style="282" customWidth="1"/>
    <col min="15108" max="15108" width="5.28515625" style="282" customWidth="1"/>
    <col min="15109" max="15109" width="13.5703125" style="282" customWidth="1"/>
    <col min="15110" max="15112" width="12.85546875" style="282" customWidth="1"/>
    <col min="15113" max="15113" width="12.140625" style="282" customWidth="1"/>
    <col min="15114" max="15360" width="9.140625" style="282"/>
    <col min="15361" max="15361" width="13.7109375" style="282" customWidth="1"/>
    <col min="15362" max="15362" width="47.85546875" style="282" customWidth="1"/>
    <col min="15363" max="15363" width="17.5703125" style="282" customWidth="1"/>
    <col min="15364" max="15364" width="5.28515625" style="282" customWidth="1"/>
    <col min="15365" max="15365" width="13.5703125" style="282" customWidth="1"/>
    <col min="15366" max="15368" width="12.85546875" style="282" customWidth="1"/>
    <col min="15369" max="15369" width="12.140625" style="282" customWidth="1"/>
    <col min="15370" max="15616" width="9.140625" style="282"/>
    <col min="15617" max="15617" width="13.7109375" style="282" customWidth="1"/>
    <col min="15618" max="15618" width="47.85546875" style="282" customWidth="1"/>
    <col min="15619" max="15619" width="17.5703125" style="282" customWidth="1"/>
    <col min="15620" max="15620" width="5.28515625" style="282" customWidth="1"/>
    <col min="15621" max="15621" width="13.5703125" style="282" customWidth="1"/>
    <col min="15622" max="15624" width="12.85546875" style="282" customWidth="1"/>
    <col min="15625" max="15625" width="12.140625" style="282" customWidth="1"/>
    <col min="15626" max="15872" width="9.140625" style="282"/>
    <col min="15873" max="15873" width="13.7109375" style="282" customWidth="1"/>
    <col min="15874" max="15874" width="47.85546875" style="282" customWidth="1"/>
    <col min="15875" max="15875" width="17.5703125" style="282" customWidth="1"/>
    <col min="15876" max="15876" width="5.28515625" style="282" customWidth="1"/>
    <col min="15877" max="15877" width="13.5703125" style="282" customWidth="1"/>
    <col min="15878" max="15880" width="12.85546875" style="282" customWidth="1"/>
    <col min="15881" max="15881" width="12.140625" style="282" customWidth="1"/>
    <col min="15882" max="16128" width="9.140625" style="282"/>
    <col min="16129" max="16129" width="13.7109375" style="282" customWidth="1"/>
    <col min="16130" max="16130" width="47.85546875" style="282" customWidth="1"/>
    <col min="16131" max="16131" width="17.5703125" style="282" customWidth="1"/>
    <col min="16132" max="16132" width="5.28515625" style="282" customWidth="1"/>
    <col min="16133" max="16133" width="13.5703125" style="282" customWidth="1"/>
    <col min="16134" max="16136" width="12.85546875" style="282" customWidth="1"/>
    <col min="16137" max="16137" width="12.140625" style="282" customWidth="1"/>
    <col min="16138" max="16384" width="9.140625" style="282"/>
  </cols>
  <sheetData>
    <row r="1" spans="1:14" s="275" customFormat="1" ht="23.25">
      <c r="A1" s="276"/>
      <c r="B1" s="268"/>
      <c r="C1" s="277"/>
      <c r="D1" s="270"/>
      <c r="E1" s="271"/>
      <c r="G1" s="278" t="s">
        <v>533</v>
      </c>
      <c r="H1" s="272"/>
      <c r="I1" s="272"/>
      <c r="J1" s="272"/>
      <c r="K1" s="272"/>
      <c r="L1" s="272"/>
      <c r="M1" s="272"/>
      <c r="N1" s="279"/>
    </row>
    <row r="2" spans="1:14" s="275" customFormat="1" ht="15">
      <c r="A2" s="267"/>
      <c r="B2" s="268"/>
      <c r="C2" s="277"/>
      <c r="D2" s="270"/>
      <c r="E2" s="271"/>
      <c r="F2" s="272"/>
      <c r="G2" s="273"/>
      <c r="H2" s="272"/>
      <c r="I2" s="272"/>
      <c r="J2" s="272"/>
      <c r="K2" s="272"/>
      <c r="L2" s="272"/>
      <c r="M2" s="272"/>
      <c r="N2" s="279"/>
    </row>
    <row r="3" spans="1:14" s="275" customFormat="1" ht="15">
      <c r="A3" s="267" t="s">
        <v>527</v>
      </c>
      <c r="B3" s="268"/>
      <c r="C3" s="277"/>
      <c r="D3" s="270"/>
      <c r="E3" s="271"/>
      <c r="F3" s="272"/>
      <c r="G3" s="273"/>
      <c r="H3" s="272"/>
      <c r="I3" s="272"/>
      <c r="J3" s="272"/>
      <c r="K3" s="272"/>
      <c r="L3" s="272"/>
      <c r="M3" s="272"/>
      <c r="N3" s="279"/>
    </row>
    <row r="4" spans="1:14" s="275" customFormat="1" ht="15">
      <c r="A4" s="267" t="s">
        <v>808</v>
      </c>
      <c r="B4" s="268"/>
      <c r="C4" s="277"/>
      <c r="D4" s="270"/>
      <c r="E4" s="271"/>
      <c r="F4" s="272"/>
      <c r="G4" s="273"/>
      <c r="H4" s="272"/>
      <c r="I4" s="272"/>
      <c r="J4" s="272"/>
      <c r="K4" s="272"/>
      <c r="L4" s="272"/>
      <c r="M4" s="272"/>
      <c r="N4" s="279"/>
    </row>
    <row r="5" spans="1:14" s="275" customFormat="1" ht="15">
      <c r="A5" s="267" t="s">
        <v>530</v>
      </c>
      <c r="B5" s="268"/>
      <c r="C5" s="277"/>
      <c r="D5" s="270"/>
      <c r="E5" s="271"/>
      <c r="F5" s="272"/>
      <c r="G5" s="273"/>
      <c r="H5" s="272"/>
      <c r="I5" s="272"/>
      <c r="J5" s="272"/>
      <c r="K5" s="272"/>
      <c r="L5" s="272"/>
      <c r="M5" s="272"/>
      <c r="N5" s="279"/>
    </row>
    <row r="6" spans="1:14" s="275" customFormat="1" ht="15">
      <c r="A6" s="267" t="s">
        <v>531</v>
      </c>
      <c r="B6" s="268"/>
      <c r="C6" s="277"/>
      <c r="D6" s="270"/>
      <c r="E6" s="271"/>
      <c r="F6" s="272"/>
      <c r="G6" s="273"/>
      <c r="H6" s="272"/>
      <c r="I6" s="272"/>
      <c r="J6" s="272"/>
      <c r="K6" s="272"/>
      <c r="L6" s="272"/>
      <c r="M6" s="272"/>
      <c r="N6" s="279"/>
    </row>
    <row r="7" spans="1:14" ht="18">
      <c r="A7" s="280"/>
      <c r="B7" s="281"/>
    </row>
    <row r="8" spans="1:14" ht="18">
      <c r="A8" s="280"/>
      <c r="B8" s="281" t="s">
        <v>534</v>
      </c>
    </row>
    <row r="9" spans="1:14" ht="13.5" thickBot="1"/>
    <row r="10" spans="1:14" s="283" customFormat="1" ht="18" customHeight="1" thickBot="1">
      <c r="A10" s="618" t="s">
        <v>0</v>
      </c>
      <c r="B10" s="618" t="s">
        <v>43</v>
      </c>
      <c r="C10" s="619" t="s">
        <v>535</v>
      </c>
      <c r="E10" s="621" t="s">
        <v>536</v>
      </c>
      <c r="F10" s="622"/>
      <c r="G10" s="622"/>
      <c r="H10" s="623"/>
      <c r="I10" s="282"/>
      <c r="J10" s="282"/>
      <c r="K10" s="282"/>
      <c r="L10" s="282"/>
    </row>
    <row r="11" spans="1:14" s="283" customFormat="1" ht="13.5" thickBot="1">
      <c r="A11" s="618"/>
      <c r="B11" s="618"/>
      <c r="C11" s="620"/>
      <c r="E11" s="284"/>
      <c r="F11" s="284" t="s">
        <v>537</v>
      </c>
      <c r="G11" s="284" t="s">
        <v>538</v>
      </c>
      <c r="H11" s="284" t="s">
        <v>539</v>
      </c>
    </row>
    <row r="12" spans="1:14" ht="15.95" customHeight="1" thickBot="1">
      <c r="A12" s="285">
        <v>1</v>
      </c>
      <c r="B12" s="286" t="s">
        <v>540</v>
      </c>
      <c r="C12" s="287">
        <v>0.05</v>
      </c>
      <c r="E12" s="288" t="s">
        <v>541</v>
      </c>
      <c r="F12" s="288">
        <v>0.03</v>
      </c>
      <c r="G12" s="288">
        <v>0.04</v>
      </c>
      <c r="H12" s="288">
        <v>5.5E-2</v>
      </c>
      <c r="I12" s="283"/>
      <c r="J12" s="283"/>
      <c r="K12" s="283"/>
      <c r="L12" s="283"/>
    </row>
    <row r="13" spans="1:14" ht="15.95" customHeight="1" thickBot="1">
      <c r="A13" s="285">
        <v>2</v>
      </c>
      <c r="B13" s="286" t="s">
        <v>542</v>
      </c>
      <c r="C13" s="289">
        <v>0.01</v>
      </c>
      <c r="E13" s="288" t="s">
        <v>543</v>
      </c>
      <c r="F13" s="288">
        <v>8.0000000000000002E-3</v>
      </c>
      <c r="G13" s="288">
        <v>8.0000000000000002E-3</v>
      </c>
      <c r="H13" s="288">
        <v>0.01</v>
      </c>
      <c r="I13" s="283"/>
      <c r="J13" s="283"/>
      <c r="K13" s="283"/>
    </row>
    <row r="14" spans="1:14" ht="15.95" customHeight="1" thickBot="1">
      <c r="A14" s="285">
        <v>3</v>
      </c>
      <c r="B14" s="286" t="s">
        <v>544</v>
      </c>
      <c r="C14" s="289">
        <v>1.2E-2</v>
      </c>
      <c r="E14" s="288" t="s">
        <v>545</v>
      </c>
      <c r="F14" s="288">
        <v>9.7000000000000003E-3</v>
      </c>
      <c r="G14" s="288">
        <v>1.2699999999999999E-2</v>
      </c>
      <c r="H14" s="288">
        <v>1.2699999999999999E-2</v>
      </c>
      <c r="I14" s="283"/>
      <c r="J14" s="283"/>
      <c r="K14" s="283"/>
    </row>
    <row r="15" spans="1:14" ht="15.95" customHeight="1" thickBot="1">
      <c r="A15" s="285">
        <v>4</v>
      </c>
      <c r="B15" s="286" t="s">
        <v>546</v>
      </c>
      <c r="C15" s="289">
        <v>1.2500000000000001E-2</v>
      </c>
      <c r="E15" s="288" t="s">
        <v>547</v>
      </c>
      <c r="F15" s="288">
        <v>5.8999999999999999E-3</v>
      </c>
      <c r="G15" s="288">
        <v>1.23E-2</v>
      </c>
      <c r="H15" s="288">
        <v>1.3899999999999999E-2</v>
      </c>
      <c r="I15" s="283"/>
      <c r="J15" s="283"/>
      <c r="K15" s="283"/>
    </row>
    <row r="16" spans="1:14" ht="15.95" customHeight="1" thickBot="1">
      <c r="A16" s="285">
        <v>5</v>
      </c>
      <c r="B16" s="286" t="s">
        <v>548</v>
      </c>
      <c r="C16" s="289">
        <v>7.4999999999999997E-2</v>
      </c>
      <c r="E16" s="288" t="s">
        <v>549</v>
      </c>
      <c r="F16" s="288">
        <v>7.1400000000000005E-2</v>
      </c>
      <c r="G16" s="288">
        <v>7.3999999999999996E-2</v>
      </c>
      <c r="H16" s="288">
        <v>8.9599999999999999E-2</v>
      </c>
      <c r="I16" s="283"/>
      <c r="J16" s="283"/>
      <c r="K16" s="283"/>
    </row>
    <row r="17" spans="1:11" ht="15.95" customHeight="1" thickBot="1">
      <c r="A17" s="285">
        <v>6</v>
      </c>
      <c r="B17" s="286" t="s">
        <v>550</v>
      </c>
      <c r="C17" s="290">
        <f>SUM(C18:C21)</f>
        <v>0.1115</v>
      </c>
      <c r="I17" s="283"/>
      <c r="J17" s="283"/>
      <c r="K17" s="283"/>
    </row>
    <row r="18" spans="1:11" ht="15.95" customHeight="1" thickBot="1">
      <c r="A18" s="285" t="s">
        <v>18</v>
      </c>
      <c r="B18" s="286" t="s">
        <v>551</v>
      </c>
      <c r="C18" s="289">
        <v>6.4999999999999997E-3</v>
      </c>
      <c r="E18" s="291" t="s">
        <v>552</v>
      </c>
      <c r="F18" s="288">
        <v>0.2034</v>
      </c>
      <c r="G18" s="288">
        <v>0.22120000000000001</v>
      </c>
      <c r="H18" s="288">
        <v>0.25</v>
      </c>
      <c r="I18" s="283"/>
      <c r="J18" s="283"/>
      <c r="K18" s="283"/>
    </row>
    <row r="19" spans="1:11" ht="15.95" customHeight="1" thickBot="1">
      <c r="A19" s="285" t="s">
        <v>22</v>
      </c>
      <c r="B19" s="286" t="s">
        <v>553</v>
      </c>
      <c r="C19" s="289">
        <v>0.03</v>
      </c>
      <c r="E19" s="291" t="s">
        <v>554</v>
      </c>
      <c r="F19" s="288">
        <v>0.26369999999999999</v>
      </c>
      <c r="G19" s="288">
        <v>0.28239999999999998</v>
      </c>
      <c r="H19" s="288">
        <v>0.31259999999999999</v>
      </c>
      <c r="I19" s="283"/>
      <c r="J19" s="283"/>
      <c r="K19" s="283"/>
    </row>
    <row r="20" spans="1:11" ht="15.95" customHeight="1" thickBot="1">
      <c r="A20" s="285" t="s">
        <v>25</v>
      </c>
      <c r="B20" s="286" t="s">
        <v>555</v>
      </c>
      <c r="C20" s="289">
        <v>0.03</v>
      </c>
      <c r="I20" s="283"/>
      <c r="J20" s="283"/>
      <c r="K20" s="283"/>
    </row>
    <row r="21" spans="1:11" ht="15.95" customHeight="1" thickBot="1">
      <c r="A21" s="285" t="s">
        <v>556</v>
      </c>
      <c r="B21" s="286" t="s">
        <v>557</v>
      </c>
      <c r="C21" s="292">
        <v>4.4999999999999998E-2</v>
      </c>
      <c r="E21" s="624" t="s">
        <v>558</v>
      </c>
      <c r="F21" s="624"/>
      <c r="G21" s="624"/>
      <c r="H21" s="624"/>
      <c r="I21" s="283"/>
      <c r="J21" s="283"/>
      <c r="K21" s="283"/>
    </row>
    <row r="22" spans="1:11" ht="15.95" customHeight="1" thickBot="1">
      <c r="A22" s="625" t="s">
        <v>559</v>
      </c>
      <c r="B22" s="626"/>
      <c r="C22" s="293">
        <f>TRUNC((((1+$C14+$C15+$C16)*(1+$C17)*(1+$C18)/(1-$C19)))-1,4)</f>
        <v>0.26800000000000002</v>
      </c>
      <c r="I22" s="283"/>
      <c r="J22" s="283"/>
      <c r="K22" s="283"/>
    </row>
    <row r="23" spans="1:11">
      <c r="I23" s="283"/>
      <c r="J23" s="283"/>
      <c r="K23" s="283"/>
    </row>
    <row r="24" spans="1:11" ht="27" customHeight="1">
      <c r="A24" s="627" t="s">
        <v>560</v>
      </c>
      <c r="B24" s="627"/>
      <c r="C24" s="627"/>
      <c r="I24" s="283"/>
      <c r="J24" s="283"/>
      <c r="K24" s="283"/>
    </row>
    <row r="25" spans="1:11">
      <c r="I25" s="283"/>
      <c r="J25" s="283"/>
      <c r="K25" s="283"/>
    </row>
    <row r="26" spans="1:11" ht="13.5" thickBot="1">
      <c r="A26" s="294" t="s">
        <v>561</v>
      </c>
      <c r="I26" s="283"/>
      <c r="J26" s="283"/>
      <c r="K26" s="283"/>
    </row>
    <row r="27" spans="1:11">
      <c r="A27" s="295" t="s">
        <v>562</v>
      </c>
      <c r="B27" s="296"/>
      <c r="C27" s="297">
        <v>0.03</v>
      </c>
      <c r="I27" s="283"/>
      <c r="J27" s="283"/>
      <c r="K27" s="283"/>
    </row>
    <row r="28" spans="1:11">
      <c r="A28" s="298" t="s">
        <v>563</v>
      </c>
      <c r="B28" s="299"/>
      <c r="C28" s="300">
        <v>0.38</v>
      </c>
      <c r="E28" s="282" t="s">
        <v>564</v>
      </c>
      <c r="I28" s="283"/>
      <c r="J28" s="283"/>
      <c r="K28" s="283"/>
    </row>
    <row r="29" spans="1:11" ht="15" customHeight="1" thickBot="1">
      <c r="A29" s="301" t="s">
        <v>565</v>
      </c>
      <c r="B29" s="302"/>
      <c r="C29" s="303">
        <f>+C27*C28</f>
        <v>1.14E-2</v>
      </c>
      <c r="E29" s="282" t="s">
        <v>566</v>
      </c>
    </row>
    <row r="30" spans="1:11" ht="12.75" customHeight="1">
      <c r="A30" s="612" t="s">
        <v>567</v>
      </c>
      <c r="B30" s="613"/>
      <c r="C30" s="614"/>
      <c r="E30" s="282" t="s">
        <v>568</v>
      </c>
    </row>
    <row r="31" spans="1:11" ht="15" customHeight="1">
      <c r="A31" s="612"/>
      <c r="B31" s="613"/>
      <c r="C31" s="614"/>
      <c r="E31" s="282" t="s">
        <v>569</v>
      </c>
    </row>
    <row r="32" spans="1:11" ht="15" customHeight="1">
      <c r="A32" s="612"/>
      <c r="B32" s="613"/>
      <c r="C32" s="614"/>
      <c r="E32" s="282" t="s">
        <v>570</v>
      </c>
    </row>
    <row r="33" spans="1:8" ht="15" customHeight="1" thickBot="1">
      <c r="A33" s="615"/>
      <c r="B33" s="616"/>
      <c r="C33" s="617"/>
      <c r="E33" s="282" t="s">
        <v>571</v>
      </c>
    </row>
    <row r="34" spans="1:8">
      <c r="F34" s="431" t="s">
        <v>178</v>
      </c>
      <c r="G34" s="431"/>
      <c r="H34" s="431"/>
    </row>
    <row r="35" spans="1:8" ht="13.5" thickBot="1">
      <c r="A35" s="294" t="s">
        <v>572</v>
      </c>
      <c r="F35" s="430" t="s">
        <v>790</v>
      </c>
      <c r="G35" s="430"/>
      <c r="H35" s="430"/>
    </row>
    <row r="36" spans="1:8">
      <c r="A36" s="609" t="s">
        <v>573</v>
      </c>
      <c r="B36" s="610"/>
      <c r="C36" s="611"/>
      <c r="F36" s="430" t="s">
        <v>791</v>
      </c>
      <c r="G36" s="430"/>
      <c r="H36" s="430"/>
    </row>
    <row r="37" spans="1:8">
      <c r="A37" s="612"/>
      <c r="B37" s="613"/>
      <c r="C37" s="614"/>
      <c r="F37" s="430" t="s">
        <v>177</v>
      </c>
      <c r="G37" s="430"/>
      <c r="H37" s="430"/>
    </row>
    <row r="38" spans="1:8" ht="13.5" thickBot="1">
      <c r="A38" s="615"/>
      <c r="B38" s="616"/>
      <c r="C38" s="617"/>
      <c r="F38" s="557" t="s">
        <v>792</v>
      </c>
      <c r="G38" s="557"/>
      <c r="H38" s="557"/>
    </row>
    <row r="39" spans="1:8">
      <c r="F39" s="304"/>
      <c r="G39" s="305"/>
      <c r="H39" s="304"/>
    </row>
  </sheetData>
  <mergeCells count="10">
    <mergeCell ref="F38:H38"/>
    <mergeCell ref="A36:C38"/>
    <mergeCell ref="A10:A11"/>
    <mergeCell ref="B10:B11"/>
    <mergeCell ref="C10:C11"/>
    <mergeCell ref="E10:H10"/>
    <mergeCell ref="E21:H21"/>
    <mergeCell ref="A22:B22"/>
    <mergeCell ref="A24:C24"/>
    <mergeCell ref="A30:C33"/>
  </mergeCells>
  <printOptions horizontalCentered="1"/>
  <pageMargins left="0.98425196850393704" right="0.39370078740157483" top="0.98425196850393704" bottom="0.39370078740157483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16749-B44A-484D-8F43-522D85F0A9F9}">
  <sheetPr>
    <tabColor theme="6" tint="0.79998168889431442"/>
    <pageSetUpPr fitToPage="1"/>
  </sheetPr>
  <dimension ref="A1:N59"/>
  <sheetViews>
    <sheetView view="pageBreakPreview" zoomScale="130" zoomScaleNormal="130" zoomScaleSheetLayoutView="130" workbookViewId="0">
      <selection activeCell="N7" sqref="N7"/>
    </sheetView>
  </sheetViews>
  <sheetFormatPr defaultRowHeight="15"/>
  <cols>
    <col min="1" max="5" width="9.140625" style="311"/>
    <col min="6" max="6" width="18" style="311" customWidth="1"/>
    <col min="7" max="7" width="11.5703125" style="311" customWidth="1"/>
    <col min="8" max="8" width="14.28515625" style="311" customWidth="1"/>
    <col min="9" max="261" width="9.140625" style="311"/>
    <col min="262" max="262" width="18" style="311" customWidth="1"/>
    <col min="263" max="263" width="11.5703125" style="311" customWidth="1"/>
    <col min="264" max="264" width="14.28515625" style="311" customWidth="1"/>
    <col min="265" max="517" width="9.140625" style="311"/>
    <col min="518" max="518" width="18" style="311" customWidth="1"/>
    <col min="519" max="519" width="11.5703125" style="311" customWidth="1"/>
    <col min="520" max="520" width="14.28515625" style="311" customWidth="1"/>
    <col min="521" max="773" width="9.140625" style="311"/>
    <col min="774" max="774" width="18" style="311" customWidth="1"/>
    <col min="775" max="775" width="11.5703125" style="311" customWidth="1"/>
    <col min="776" max="776" width="14.28515625" style="311" customWidth="1"/>
    <col min="777" max="1029" width="9.140625" style="311"/>
    <col min="1030" max="1030" width="18" style="311" customWidth="1"/>
    <col min="1031" max="1031" width="11.5703125" style="311" customWidth="1"/>
    <col min="1032" max="1032" width="14.28515625" style="311" customWidth="1"/>
    <col min="1033" max="1285" width="9.140625" style="311"/>
    <col min="1286" max="1286" width="18" style="311" customWidth="1"/>
    <col min="1287" max="1287" width="11.5703125" style="311" customWidth="1"/>
    <col min="1288" max="1288" width="14.28515625" style="311" customWidth="1"/>
    <col min="1289" max="1541" width="9.140625" style="311"/>
    <col min="1542" max="1542" width="18" style="311" customWidth="1"/>
    <col min="1543" max="1543" width="11.5703125" style="311" customWidth="1"/>
    <col min="1544" max="1544" width="14.28515625" style="311" customWidth="1"/>
    <col min="1545" max="1797" width="9.140625" style="311"/>
    <col min="1798" max="1798" width="18" style="311" customWidth="1"/>
    <col min="1799" max="1799" width="11.5703125" style="311" customWidth="1"/>
    <col min="1800" max="1800" width="14.28515625" style="311" customWidth="1"/>
    <col min="1801" max="2053" width="9.140625" style="311"/>
    <col min="2054" max="2054" width="18" style="311" customWidth="1"/>
    <col min="2055" max="2055" width="11.5703125" style="311" customWidth="1"/>
    <col min="2056" max="2056" width="14.28515625" style="311" customWidth="1"/>
    <col min="2057" max="2309" width="9.140625" style="311"/>
    <col min="2310" max="2310" width="18" style="311" customWidth="1"/>
    <col min="2311" max="2311" width="11.5703125" style="311" customWidth="1"/>
    <col min="2312" max="2312" width="14.28515625" style="311" customWidth="1"/>
    <col min="2313" max="2565" width="9.140625" style="311"/>
    <col min="2566" max="2566" width="18" style="311" customWidth="1"/>
    <col min="2567" max="2567" width="11.5703125" style="311" customWidth="1"/>
    <col min="2568" max="2568" width="14.28515625" style="311" customWidth="1"/>
    <col min="2569" max="2821" width="9.140625" style="311"/>
    <col min="2822" max="2822" width="18" style="311" customWidth="1"/>
    <col min="2823" max="2823" width="11.5703125" style="311" customWidth="1"/>
    <col min="2824" max="2824" width="14.28515625" style="311" customWidth="1"/>
    <col min="2825" max="3077" width="9.140625" style="311"/>
    <col min="3078" max="3078" width="18" style="311" customWidth="1"/>
    <col min="3079" max="3079" width="11.5703125" style="311" customWidth="1"/>
    <col min="3080" max="3080" width="14.28515625" style="311" customWidth="1"/>
    <col min="3081" max="3333" width="9.140625" style="311"/>
    <col min="3334" max="3334" width="18" style="311" customWidth="1"/>
    <col min="3335" max="3335" width="11.5703125" style="311" customWidth="1"/>
    <col min="3336" max="3336" width="14.28515625" style="311" customWidth="1"/>
    <col min="3337" max="3589" width="9.140625" style="311"/>
    <col min="3590" max="3590" width="18" style="311" customWidth="1"/>
    <col min="3591" max="3591" width="11.5703125" style="311" customWidth="1"/>
    <col min="3592" max="3592" width="14.28515625" style="311" customWidth="1"/>
    <col min="3593" max="3845" width="9.140625" style="311"/>
    <col min="3846" max="3846" width="18" style="311" customWidth="1"/>
    <col min="3847" max="3847" width="11.5703125" style="311" customWidth="1"/>
    <col min="3848" max="3848" width="14.28515625" style="311" customWidth="1"/>
    <col min="3849" max="4101" width="9.140625" style="311"/>
    <col min="4102" max="4102" width="18" style="311" customWidth="1"/>
    <col min="4103" max="4103" width="11.5703125" style="311" customWidth="1"/>
    <col min="4104" max="4104" width="14.28515625" style="311" customWidth="1"/>
    <col min="4105" max="4357" width="9.140625" style="311"/>
    <col min="4358" max="4358" width="18" style="311" customWidth="1"/>
    <col min="4359" max="4359" width="11.5703125" style="311" customWidth="1"/>
    <col min="4360" max="4360" width="14.28515625" style="311" customWidth="1"/>
    <col min="4361" max="4613" width="9.140625" style="311"/>
    <col min="4614" max="4614" width="18" style="311" customWidth="1"/>
    <col min="4615" max="4615" width="11.5703125" style="311" customWidth="1"/>
    <col min="4616" max="4616" width="14.28515625" style="311" customWidth="1"/>
    <col min="4617" max="4869" width="9.140625" style="311"/>
    <col min="4870" max="4870" width="18" style="311" customWidth="1"/>
    <col min="4871" max="4871" width="11.5703125" style="311" customWidth="1"/>
    <col min="4872" max="4872" width="14.28515625" style="311" customWidth="1"/>
    <col min="4873" max="5125" width="9.140625" style="311"/>
    <col min="5126" max="5126" width="18" style="311" customWidth="1"/>
    <col min="5127" max="5127" width="11.5703125" style="311" customWidth="1"/>
    <col min="5128" max="5128" width="14.28515625" style="311" customWidth="1"/>
    <col min="5129" max="5381" width="9.140625" style="311"/>
    <col min="5382" max="5382" width="18" style="311" customWidth="1"/>
    <col min="5383" max="5383" width="11.5703125" style="311" customWidth="1"/>
    <col min="5384" max="5384" width="14.28515625" style="311" customWidth="1"/>
    <col min="5385" max="5637" width="9.140625" style="311"/>
    <col min="5638" max="5638" width="18" style="311" customWidth="1"/>
    <col min="5639" max="5639" width="11.5703125" style="311" customWidth="1"/>
    <col min="5640" max="5640" width="14.28515625" style="311" customWidth="1"/>
    <col min="5641" max="5893" width="9.140625" style="311"/>
    <col min="5894" max="5894" width="18" style="311" customWidth="1"/>
    <col min="5895" max="5895" width="11.5703125" style="311" customWidth="1"/>
    <col min="5896" max="5896" width="14.28515625" style="311" customWidth="1"/>
    <col min="5897" max="6149" width="9.140625" style="311"/>
    <col min="6150" max="6150" width="18" style="311" customWidth="1"/>
    <col min="6151" max="6151" width="11.5703125" style="311" customWidth="1"/>
    <col min="6152" max="6152" width="14.28515625" style="311" customWidth="1"/>
    <col min="6153" max="6405" width="9.140625" style="311"/>
    <col min="6406" max="6406" width="18" style="311" customWidth="1"/>
    <col min="6407" max="6407" width="11.5703125" style="311" customWidth="1"/>
    <col min="6408" max="6408" width="14.28515625" style="311" customWidth="1"/>
    <col min="6409" max="6661" width="9.140625" style="311"/>
    <col min="6662" max="6662" width="18" style="311" customWidth="1"/>
    <col min="6663" max="6663" width="11.5703125" style="311" customWidth="1"/>
    <col min="6664" max="6664" width="14.28515625" style="311" customWidth="1"/>
    <col min="6665" max="6917" width="9.140625" style="311"/>
    <col min="6918" max="6918" width="18" style="311" customWidth="1"/>
    <col min="6919" max="6919" width="11.5703125" style="311" customWidth="1"/>
    <col min="6920" max="6920" width="14.28515625" style="311" customWidth="1"/>
    <col min="6921" max="7173" width="9.140625" style="311"/>
    <col min="7174" max="7174" width="18" style="311" customWidth="1"/>
    <col min="7175" max="7175" width="11.5703125" style="311" customWidth="1"/>
    <col min="7176" max="7176" width="14.28515625" style="311" customWidth="1"/>
    <col min="7177" max="7429" width="9.140625" style="311"/>
    <col min="7430" max="7430" width="18" style="311" customWidth="1"/>
    <col min="7431" max="7431" width="11.5703125" style="311" customWidth="1"/>
    <col min="7432" max="7432" width="14.28515625" style="311" customWidth="1"/>
    <col min="7433" max="7685" width="9.140625" style="311"/>
    <col min="7686" max="7686" width="18" style="311" customWidth="1"/>
    <col min="7687" max="7687" width="11.5703125" style="311" customWidth="1"/>
    <col min="7688" max="7688" width="14.28515625" style="311" customWidth="1"/>
    <col min="7689" max="7941" width="9.140625" style="311"/>
    <col min="7942" max="7942" width="18" style="311" customWidth="1"/>
    <col min="7943" max="7943" width="11.5703125" style="311" customWidth="1"/>
    <col min="7944" max="7944" width="14.28515625" style="311" customWidth="1"/>
    <col min="7945" max="8197" width="9.140625" style="311"/>
    <col min="8198" max="8198" width="18" style="311" customWidth="1"/>
    <col min="8199" max="8199" width="11.5703125" style="311" customWidth="1"/>
    <col min="8200" max="8200" width="14.28515625" style="311" customWidth="1"/>
    <col min="8201" max="8453" width="9.140625" style="311"/>
    <col min="8454" max="8454" width="18" style="311" customWidth="1"/>
    <col min="8455" max="8455" width="11.5703125" style="311" customWidth="1"/>
    <col min="8456" max="8456" width="14.28515625" style="311" customWidth="1"/>
    <col min="8457" max="8709" width="9.140625" style="311"/>
    <col min="8710" max="8710" width="18" style="311" customWidth="1"/>
    <col min="8711" max="8711" width="11.5703125" style="311" customWidth="1"/>
    <col min="8712" max="8712" width="14.28515625" style="311" customWidth="1"/>
    <col min="8713" max="8965" width="9.140625" style="311"/>
    <col min="8966" max="8966" width="18" style="311" customWidth="1"/>
    <col min="8967" max="8967" width="11.5703125" style="311" customWidth="1"/>
    <col min="8968" max="8968" width="14.28515625" style="311" customWidth="1"/>
    <col min="8969" max="9221" width="9.140625" style="311"/>
    <col min="9222" max="9222" width="18" style="311" customWidth="1"/>
    <col min="9223" max="9223" width="11.5703125" style="311" customWidth="1"/>
    <col min="9224" max="9224" width="14.28515625" style="311" customWidth="1"/>
    <col min="9225" max="9477" width="9.140625" style="311"/>
    <col min="9478" max="9478" width="18" style="311" customWidth="1"/>
    <col min="9479" max="9479" width="11.5703125" style="311" customWidth="1"/>
    <col min="9480" max="9480" width="14.28515625" style="311" customWidth="1"/>
    <col min="9481" max="9733" width="9.140625" style="311"/>
    <col min="9734" max="9734" width="18" style="311" customWidth="1"/>
    <col min="9735" max="9735" width="11.5703125" style="311" customWidth="1"/>
    <col min="9736" max="9736" width="14.28515625" style="311" customWidth="1"/>
    <col min="9737" max="9989" width="9.140625" style="311"/>
    <col min="9990" max="9990" width="18" style="311" customWidth="1"/>
    <col min="9991" max="9991" width="11.5703125" style="311" customWidth="1"/>
    <col min="9992" max="9992" width="14.28515625" style="311" customWidth="1"/>
    <col min="9993" max="10245" width="9.140625" style="311"/>
    <col min="10246" max="10246" width="18" style="311" customWidth="1"/>
    <col min="10247" max="10247" width="11.5703125" style="311" customWidth="1"/>
    <col min="10248" max="10248" width="14.28515625" style="311" customWidth="1"/>
    <col min="10249" max="10501" width="9.140625" style="311"/>
    <col min="10502" max="10502" width="18" style="311" customWidth="1"/>
    <col min="10503" max="10503" width="11.5703125" style="311" customWidth="1"/>
    <col min="10504" max="10504" width="14.28515625" style="311" customWidth="1"/>
    <col min="10505" max="10757" width="9.140625" style="311"/>
    <col min="10758" max="10758" width="18" style="311" customWidth="1"/>
    <col min="10759" max="10759" width="11.5703125" style="311" customWidth="1"/>
    <col min="10760" max="10760" width="14.28515625" style="311" customWidth="1"/>
    <col min="10761" max="11013" width="9.140625" style="311"/>
    <col min="11014" max="11014" width="18" style="311" customWidth="1"/>
    <col min="11015" max="11015" width="11.5703125" style="311" customWidth="1"/>
    <col min="11016" max="11016" width="14.28515625" style="311" customWidth="1"/>
    <col min="11017" max="11269" width="9.140625" style="311"/>
    <col min="11270" max="11270" width="18" style="311" customWidth="1"/>
    <col min="11271" max="11271" width="11.5703125" style="311" customWidth="1"/>
    <col min="11272" max="11272" width="14.28515625" style="311" customWidth="1"/>
    <col min="11273" max="11525" width="9.140625" style="311"/>
    <col min="11526" max="11526" width="18" style="311" customWidth="1"/>
    <col min="11527" max="11527" width="11.5703125" style="311" customWidth="1"/>
    <col min="11528" max="11528" width="14.28515625" style="311" customWidth="1"/>
    <col min="11529" max="11781" width="9.140625" style="311"/>
    <col min="11782" max="11782" width="18" style="311" customWidth="1"/>
    <col min="11783" max="11783" width="11.5703125" style="311" customWidth="1"/>
    <col min="11784" max="11784" width="14.28515625" style="311" customWidth="1"/>
    <col min="11785" max="12037" width="9.140625" style="311"/>
    <col min="12038" max="12038" width="18" style="311" customWidth="1"/>
    <col min="12039" max="12039" width="11.5703125" style="311" customWidth="1"/>
    <col min="12040" max="12040" width="14.28515625" style="311" customWidth="1"/>
    <col min="12041" max="12293" width="9.140625" style="311"/>
    <col min="12294" max="12294" width="18" style="311" customWidth="1"/>
    <col min="12295" max="12295" width="11.5703125" style="311" customWidth="1"/>
    <col min="12296" max="12296" width="14.28515625" style="311" customWidth="1"/>
    <col min="12297" max="12549" width="9.140625" style="311"/>
    <col min="12550" max="12550" width="18" style="311" customWidth="1"/>
    <col min="12551" max="12551" width="11.5703125" style="311" customWidth="1"/>
    <col min="12552" max="12552" width="14.28515625" style="311" customWidth="1"/>
    <col min="12553" max="12805" width="9.140625" style="311"/>
    <col min="12806" max="12806" width="18" style="311" customWidth="1"/>
    <col min="12807" max="12807" width="11.5703125" style="311" customWidth="1"/>
    <col min="12808" max="12808" width="14.28515625" style="311" customWidth="1"/>
    <col min="12809" max="13061" width="9.140625" style="311"/>
    <col min="13062" max="13062" width="18" style="311" customWidth="1"/>
    <col min="13063" max="13063" width="11.5703125" style="311" customWidth="1"/>
    <col min="13064" max="13064" width="14.28515625" style="311" customWidth="1"/>
    <col min="13065" max="13317" width="9.140625" style="311"/>
    <col min="13318" max="13318" width="18" style="311" customWidth="1"/>
    <col min="13319" max="13319" width="11.5703125" style="311" customWidth="1"/>
    <col min="13320" max="13320" width="14.28515625" style="311" customWidth="1"/>
    <col min="13321" max="13573" width="9.140625" style="311"/>
    <col min="13574" max="13574" width="18" style="311" customWidth="1"/>
    <col min="13575" max="13575" width="11.5703125" style="311" customWidth="1"/>
    <col min="13576" max="13576" width="14.28515625" style="311" customWidth="1"/>
    <col min="13577" max="13829" width="9.140625" style="311"/>
    <col min="13830" max="13830" width="18" style="311" customWidth="1"/>
    <col min="13831" max="13831" width="11.5703125" style="311" customWidth="1"/>
    <col min="13832" max="13832" width="14.28515625" style="311" customWidth="1"/>
    <col min="13833" max="14085" width="9.140625" style="311"/>
    <col min="14086" max="14086" width="18" style="311" customWidth="1"/>
    <col min="14087" max="14087" width="11.5703125" style="311" customWidth="1"/>
    <col min="14088" max="14088" width="14.28515625" style="311" customWidth="1"/>
    <col min="14089" max="14341" width="9.140625" style="311"/>
    <col min="14342" max="14342" width="18" style="311" customWidth="1"/>
    <col min="14343" max="14343" width="11.5703125" style="311" customWidth="1"/>
    <col min="14344" max="14344" width="14.28515625" style="311" customWidth="1"/>
    <col min="14345" max="14597" width="9.140625" style="311"/>
    <col min="14598" max="14598" width="18" style="311" customWidth="1"/>
    <col min="14599" max="14599" width="11.5703125" style="311" customWidth="1"/>
    <col min="14600" max="14600" width="14.28515625" style="311" customWidth="1"/>
    <col min="14601" max="14853" width="9.140625" style="311"/>
    <col min="14854" max="14854" width="18" style="311" customWidth="1"/>
    <col min="14855" max="14855" width="11.5703125" style="311" customWidth="1"/>
    <col min="14856" max="14856" width="14.28515625" style="311" customWidth="1"/>
    <col min="14857" max="15109" width="9.140625" style="311"/>
    <col min="15110" max="15110" width="18" style="311" customWidth="1"/>
    <col min="15111" max="15111" width="11.5703125" style="311" customWidth="1"/>
    <col min="15112" max="15112" width="14.28515625" style="311" customWidth="1"/>
    <col min="15113" max="15365" width="9.140625" style="311"/>
    <col min="15366" max="15366" width="18" style="311" customWidth="1"/>
    <col min="15367" max="15367" width="11.5703125" style="311" customWidth="1"/>
    <col min="15368" max="15368" width="14.28515625" style="311" customWidth="1"/>
    <col min="15369" max="15621" width="9.140625" style="311"/>
    <col min="15622" max="15622" width="18" style="311" customWidth="1"/>
    <col min="15623" max="15623" width="11.5703125" style="311" customWidth="1"/>
    <col min="15624" max="15624" width="14.28515625" style="311" customWidth="1"/>
    <col min="15625" max="15877" width="9.140625" style="311"/>
    <col min="15878" max="15878" width="18" style="311" customWidth="1"/>
    <col min="15879" max="15879" width="11.5703125" style="311" customWidth="1"/>
    <col min="15880" max="15880" width="14.28515625" style="311" customWidth="1"/>
    <col min="15881" max="16133" width="9.140625" style="311"/>
    <col min="16134" max="16134" width="18" style="311" customWidth="1"/>
    <col min="16135" max="16135" width="11.5703125" style="311" customWidth="1"/>
    <col min="16136" max="16136" width="14.28515625" style="311" customWidth="1"/>
    <col min="16137" max="16384" width="9.140625" style="311"/>
  </cols>
  <sheetData>
    <row r="1" spans="1:14" s="307" customFormat="1" ht="29.25" customHeight="1">
      <c r="A1" s="649" t="s">
        <v>578</v>
      </c>
      <c r="B1" s="650"/>
      <c r="C1" s="650"/>
      <c r="D1" s="650"/>
      <c r="E1" s="650"/>
      <c r="F1" s="650"/>
      <c r="G1" s="650"/>
      <c r="H1" s="651"/>
      <c r="I1" s="306"/>
    </row>
    <row r="2" spans="1:14" s="307" customFormat="1" ht="15" customHeight="1">
      <c r="A2" s="652" t="s">
        <v>579</v>
      </c>
      <c r="B2" s="653"/>
      <c r="C2" s="653"/>
      <c r="D2" s="653"/>
      <c r="E2" s="653"/>
      <c r="F2" s="653"/>
      <c r="G2" s="653"/>
      <c r="H2" s="654"/>
      <c r="I2" s="306"/>
    </row>
    <row r="3" spans="1:14" s="275" customFormat="1">
      <c r="A3" s="267" t="s">
        <v>527</v>
      </c>
      <c r="B3" s="268"/>
      <c r="C3" s="277"/>
      <c r="D3" s="270"/>
      <c r="E3" s="271"/>
      <c r="F3" s="272"/>
      <c r="G3" s="273"/>
      <c r="H3" s="272"/>
      <c r="I3" s="272"/>
      <c r="J3" s="272"/>
      <c r="K3" s="272"/>
      <c r="L3" s="272"/>
      <c r="M3" s="272"/>
      <c r="N3" s="279"/>
    </row>
    <row r="4" spans="1:14" s="275" customFormat="1">
      <c r="A4" s="267" t="s">
        <v>528</v>
      </c>
      <c r="B4" s="268"/>
      <c r="C4" s="277"/>
      <c r="D4" s="270"/>
      <c r="E4" s="271"/>
      <c r="F4" s="272"/>
      <c r="G4" s="273"/>
      <c r="H4" s="272"/>
      <c r="I4" s="272"/>
      <c r="J4" s="272"/>
      <c r="K4" s="272"/>
      <c r="L4" s="272"/>
      <c r="M4" s="272"/>
      <c r="N4" s="279"/>
    </row>
    <row r="5" spans="1:14" s="275" customFormat="1">
      <c r="A5" s="267" t="s">
        <v>529</v>
      </c>
      <c r="B5" s="268"/>
      <c r="C5" s="277"/>
      <c r="D5" s="270"/>
      <c r="E5" s="271"/>
      <c r="F5" s="272"/>
      <c r="G5" s="273"/>
      <c r="H5" s="272"/>
      <c r="I5" s="272"/>
      <c r="J5" s="272"/>
      <c r="K5" s="272"/>
      <c r="L5" s="272"/>
      <c r="M5" s="272"/>
      <c r="N5" s="279"/>
    </row>
    <row r="6" spans="1:14" s="275" customFormat="1">
      <c r="A6" s="267" t="s">
        <v>531</v>
      </c>
      <c r="B6" s="268"/>
      <c r="C6" s="277"/>
      <c r="D6" s="270"/>
      <c r="E6" s="271"/>
      <c r="F6" s="272"/>
      <c r="G6" s="273"/>
      <c r="H6" s="272"/>
      <c r="I6" s="272"/>
      <c r="J6" s="272"/>
      <c r="K6" s="272"/>
      <c r="L6" s="272"/>
      <c r="M6" s="272"/>
      <c r="N6" s="279"/>
    </row>
    <row r="7" spans="1:14" s="307" customFormat="1" ht="15" customHeight="1" thickBot="1">
      <c r="A7" s="308"/>
      <c r="B7" s="309"/>
      <c r="C7" s="309"/>
      <c r="D7" s="309"/>
      <c r="E7" s="309"/>
      <c r="F7" s="309"/>
      <c r="G7" s="309"/>
      <c r="H7" s="310"/>
      <c r="I7" s="306"/>
    </row>
    <row r="8" spans="1:14" ht="15.75" thickBot="1">
      <c r="A8" s="655" t="s">
        <v>580</v>
      </c>
      <c r="B8" s="656"/>
      <c r="C8" s="656"/>
      <c r="D8" s="656"/>
      <c r="E8" s="656"/>
      <c r="F8" s="656"/>
      <c r="G8" s="656"/>
      <c r="H8" s="657"/>
    </row>
    <row r="9" spans="1:14" ht="8.1" customHeight="1" thickBot="1">
      <c r="A9" s="312"/>
      <c r="H9" s="313"/>
    </row>
    <row r="10" spans="1:14" s="315" customFormat="1" ht="13.5" thickBot="1">
      <c r="A10" s="314" t="s">
        <v>581</v>
      </c>
      <c r="B10" s="658" t="s">
        <v>582</v>
      </c>
      <c r="C10" s="659"/>
      <c r="D10" s="659"/>
      <c r="E10" s="659"/>
      <c r="F10" s="660"/>
      <c r="G10" s="314" t="s">
        <v>583</v>
      </c>
      <c r="H10" s="314" t="s">
        <v>584</v>
      </c>
    </row>
    <row r="11" spans="1:14" ht="8.1" customHeight="1" thickBot="1">
      <c r="A11" s="312"/>
      <c r="H11" s="313"/>
    </row>
    <row r="12" spans="1:14" ht="15.75" thickBot="1">
      <c r="A12" s="646" t="s">
        <v>585</v>
      </c>
      <c r="B12" s="647"/>
      <c r="C12" s="647"/>
      <c r="D12" s="647"/>
      <c r="E12" s="647"/>
      <c r="F12" s="647"/>
      <c r="G12" s="647"/>
      <c r="H12" s="648"/>
    </row>
    <row r="13" spans="1:14" ht="15.75" thickBot="1">
      <c r="A13" s="316" t="s">
        <v>586</v>
      </c>
      <c r="B13" s="643" t="s">
        <v>587</v>
      </c>
      <c r="C13" s="644"/>
      <c r="D13" s="644"/>
      <c r="E13" s="644"/>
      <c r="F13" s="645"/>
      <c r="G13" s="317">
        <v>0</v>
      </c>
      <c r="H13" s="317">
        <v>0</v>
      </c>
    </row>
    <row r="14" spans="1:14" ht="15.75" thickBot="1">
      <c r="A14" s="316" t="s">
        <v>588</v>
      </c>
      <c r="B14" s="633" t="s">
        <v>589</v>
      </c>
      <c r="C14" s="633"/>
      <c r="D14" s="633"/>
      <c r="E14" s="633"/>
      <c r="F14" s="633"/>
      <c r="G14" s="317">
        <v>1.5</v>
      </c>
      <c r="H14" s="317">
        <v>1.5</v>
      </c>
    </row>
    <row r="15" spans="1:14" ht="15.75" thickBot="1">
      <c r="A15" s="316" t="s">
        <v>590</v>
      </c>
      <c r="B15" s="633" t="s">
        <v>591</v>
      </c>
      <c r="C15" s="633"/>
      <c r="D15" s="633"/>
      <c r="E15" s="633"/>
      <c r="F15" s="633"/>
      <c r="G15" s="317">
        <v>1</v>
      </c>
      <c r="H15" s="317">
        <v>1</v>
      </c>
    </row>
    <row r="16" spans="1:14" ht="15.75" thickBot="1">
      <c r="A16" s="316" t="s">
        <v>592</v>
      </c>
      <c r="B16" s="633" t="s">
        <v>593</v>
      </c>
      <c r="C16" s="633"/>
      <c r="D16" s="633"/>
      <c r="E16" s="633"/>
      <c r="F16" s="633"/>
      <c r="G16" s="317">
        <v>0.2</v>
      </c>
      <c r="H16" s="317">
        <v>0.2</v>
      </c>
    </row>
    <row r="17" spans="1:10" ht="15.75" thickBot="1">
      <c r="A17" s="316" t="s">
        <v>594</v>
      </c>
      <c r="B17" s="633" t="s">
        <v>595</v>
      </c>
      <c r="C17" s="633"/>
      <c r="D17" s="633"/>
      <c r="E17" s="633"/>
      <c r="F17" s="633"/>
      <c r="G17" s="317">
        <v>0.6</v>
      </c>
      <c r="H17" s="317">
        <v>0.6</v>
      </c>
    </row>
    <row r="18" spans="1:10" ht="15.75" thickBot="1">
      <c r="A18" s="316" t="s">
        <v>596</v>
      </c>
      <c r="B18" s="633" t="s">
        <v>597</v>
      </c>
      <c r="C18" s="633"/>
      <c r="D18" s="633"/>
      <c r="E18" s="633"/>
      <c r="F18" s="633"/>
      <c r="G18" s="317">
        <v>2.5</v>
      </c>
      <c r="H18" s="317">
        <v>2.5</v>
      </c>
    </row>
    <row r="19" spans="1:10" ht="15.75" thickBot="1">
      <c r="A19" s="316" t="s">
        <v>598</v>
      </c>
      <c r="B19" s="633" t="s">
        <v>599</v>
      </c>
      <c r="C19" s="633"/>
      <c r="D19" s="633"/>
      <c r="E19" s="633"/>
      <c r="F19" s="633"/>
      <c r="G19" s="317">
        <v>3</v>
      </c>
      <c r="H19" s="317">
        <v>3</v>
      </c>
    </row>
    <row r="20" spans="1:10" ht="15.75" thickBot="1">
      <c r="A20" s="316" t="s">
        <v>600</v>
      </c>
      <c r="B20" s="633" t="s">
        <v>601</v>
      </c>
      <c r="C20" s="633"/>
      <c r="D20" s="633"/>
      <c r="E20" s="633"/>
      <c r="F20" s="633"/>
      <c r="G20" s="317">
        <v>8</v>
      </c>
      <c r="H20" s="317">
        <v>8</v>
      </c>
    </row>
    <row r="21" spans="1:10" ht="15.75" thickBot="1">
      <c r="A21" s="316" t="s">
        <v>602</v>
      </c>
      <c r="B21" s="643" t="s">
        <v>603</v>
      </c>
      <c r="C21" s="644"/>
      <c r="D21" s="644"/>
      <c r="E21" s="644"/>
      <c r="F21" s="645"/>
      <c r="G21" s="317">
        <v>1</v>
      </c>
      <c r="H21" s="317">
        <v>1</v>
      </c>
      <c r="I21" s="318"/>
      <c r="J21" s="318"/>
    </row>
    <row r="22" spans="1:10" s="322" customFormat="1" ht="15.75" thickBot="1">
      <c r="A22" s="319" t="s">
        <v>604</v>
      </c>
      <c r="B22" s="640" t="s">
        <v>605</v>
      </c>
      <c r="C22" s="641"/>
      <c r="D22" s="641"/>
      <c r="E22" s="641"/>
      <c r="F22" s="642"/>
      <c r="G22" s="320">
        <f>SUM(G13:G21)</f>
        <v>17.8</v>
      </c>
      <c r="H22" s="320">
        <f>SUM(H13:H21)</f>
        <v>17.8</v>
      </c>
      <c r="I22" s="321"/>
      <c r="J22" s="321"/>
    </row>
    <row r="23" spans="1:10" ht="8.1" customHeight="1" thickBot="1">
      <c r="A23" s="323"/>
      <c r="B23" s="324"/>
      <c r="C23" s="324"/>
      <c r="D23" s="324"/>
      <c r="E23" s="324"/>
      <c r="F23" s="324"/>
      <c r="G23" s="324"/>
      <c r="H23" s="325"/>
    </row>
    <row r="24" spans="1:10" ht="15.75" thickBot="1">
      <c r="A24" s="646" t="s">
        <v>606</v>
      </c>
      <c r="B24" s="647"/>
      <c r="C24" s="647"/>
      <c r="D24" s="647"/>
      <c r="E24" s="647"/>
      <c r="F24" s="647"/>
      <c r="G24" s="647"/>
      <c r="H24" s="648"/>
    </row>
    <row r="25" spans="1:10" ht="15.75" thickBot="1">
      <c r="A25" s="316" t="s">
        <v>607</v>
      </c>
      <c r="B25" s="643" t="s">
        <v>608</v>
      </c>
      <c r="C25" s="644"/>
      <c r="D25" s="644"/>
      <c r="E25" s="644"/>
      <c r="F25" s="645"/>
      <c r="G25" s="317">
        <v>17.89</v>
      </c>
      <c r="H25" s="317" t="s">
        <v>609</v>
      </c>
      <c r="I25" s="318"/>
      <c r="J25" s="318"/>
    </row>
    <row r="26" spans="1:10" ht="15.75" thickBot="1">
      <c r="A26" s="316" t="s">
        <v>610</v>
      </c>
      <c r="B26" s="633" t="s">
        <v>611</v>
      </c>
      <c r="C26" s="633"/>
      <c r="D26" s="633"/>
      <c r="E26" s="633"/>
      <c r="F26" s="633"/>
      <c r="G26" s="317">
        <v>3.96</v>
      </c>
      <c r="H26" s="317" t="s">
        <v>609</v>
      </c>
    </row>
    <row r="27" spans="1:10" ht="15.75" thickBot="1">
      <c r="A27" s="316" t="s">
        <v>612</v>
      </c>
      <c r="B27" s="633" t="s">
        <v>613</v>
      </c>
      <c r="C27" s="633"/>
      <c r="D27" s="633"/>
      <c r="E27" s="633"/>
      <c r="F27" s="633"/>
      <c r="G27" s="317">
        <v>0.91</v>
      </c>
      <c r="H27" s="317">
        <v>0.7</v>
      </c>
    </row>
    <row r="28" spans="1:10" ht="15.75" thickBot="1">
      <c r="A28" s="316" t="s">
        <v>614</v>
      </c>
      <c r="B28" s="633" t="s">
        <v>615</v>
      </c>
      <c r="C28" s="633"/>
      <c r="D28" s="633"/>
      <c r="E28" s="633"/>
      <c r="F28" s="633"/>
      <c r="G28" s="317">
        <v>10.9</v>
      </c>
      <c r="H28" s="317">
        <v>8.33</v>
      </c>
    </row>
    <row r="29" spans="1:10" ht="15.75" thickBot="1">
      <c r="A29" s="316" t="s">
        <v>616</v>
      </c>
      <c r="B29" s="633" t="s">
        <v>617</v>
      </c>
      <c r="C29" s="633"/>
      <c r="D29" s="633"/>
      <c r="E29" s="633"/>
      <c r="F29" s="633"/>
      <c r="G29" s="317">
        <v>7.0000000000000007E-2</v>
      </c>
      <c r="H29" s="317">
        <v>0.05</v>
      </c>
    </row>
    <row r="30" spans="1:10" ht="15.75" thickBot="1">
      <c r="A30" s="316" t="s">
        <v>618</v>
      </c>
      <c r="B30" s="633" t="s">
        <v>619</v>
      </c>
      <c r="C30" s="633"/>
      <c r="D30" s="633"/>
      <c r="E30" s="633"/>
      <c r="F30" s="633"/>
      <c r="G30" s="317">
        <v>0.73</v>
      </c>
      <c r="H30" s="317">
        <v>0.56000000000000005</v>
      </c>
    </row>
    <row r="31" spans="1:10" ht="15.75" thickBot="1">
      <c r="A31" s="316" t="s">
        <v>620</v>
      </c>
      <c r="B31" s="633" t="s">
        <v>621</v>
      </c>
      <c r="C31" s="633"/>
      <c r="D31" s="633"/>
      <c r="E31" s="633"/>
      <c r="F31" s="633"/>
      <c r="G31" s="317">
        <v>1.53</v>
      </c>
      <c r="H31" s="317" t="s">
        <v>609</v>
      </c>
    </row>
    <row r="32" spans="1:10" ht="15.75" thickBot="1">
      <c r="A32" s="316" t="s">
        <v>622</v>
      </c>
      <c r="B32" s="633" t="s">
        <v>623</v>
      </c>
      <c r="C32" s="633"/>
      <c r="D32" s="633"/>
      <c r="E32" s="633"/>
      <c r="F32" s="633"/>
      <c r="G32" s="317">
        <v>0.11</v>
      </c>
      <c r="H32" s="317">
        <v>0.08</v>
      </c>
    </row>
    <row r="33" spans="1:12" ht="15.75" thickBot="1">
      <c r="A33" s="316" t="s">
        <v>624</v>
      </c>
      <c r="B33" s="643" t="s">
        <v>625</v>
      </c>
      <c r="C33" s="644"/>
      <c r="D33" s="644"/>
      <c r="E33" s="644"/>
      <c r="F33" s="645"/>
      <c r="G33" s="317">
        <v>10.02</v>
      </c>
      <c r="H33" s="317">
        <v>7.66</v>
      </c>
    </row>
    <row r="34" spans="1:12" ht="15.75" thickBot="1">
      <c r="A34" s="316" t="s">
        <v>626</v>
      </c>
      <c r="B34" s="643" t="s">
        <v>627</v>
      </c>
      <c r="C34" s="644"/>
      <c r="D34" s="644"/>
      <c r="E34" s="644"/>
      <c r="F34" s="645"/>
      <c r="G34" s="317">
        <v>0.03</v>
      </c>
      <c r="H34" s="317">
        <v>0.02</v>
      </c>
    </row>
    <row r="35" spans="1:12" s="322" customFormat="1" ht="15.75" thickBot="1">
      <c r="A35" s="319" t="s">
        <v>628</v>
      </c>
      <c r="B35" s="640" t="s">
        <v>629</v>
      </c>
      <c r="C35" s="641"/>
      <c r="D35" s="641"/>
      <c r="E35" s="641"/>
      <c r="F35" s="642"/>
      <c r="G35" s="320">
        <f>SUM(G25:G34)</f>
        <v>46.150000000000006</v>
      </c>
      <c r="H35" s="320">
        <f>SUM(H25:H34)</f>
        <v>17.400000000000002</v>
      </c>
    </row>
    <row r="36" spans="1:12" ht="8.1" customHeight="1" thickBot="1">
      <c r="A36" s="323"/>
      <c r="B36" s="324"/>
      <c r="C36" s="324"/>
      <c r="D36" s="324"/>
      <c r="E36" s="324"/>
      <c r="F36" s="324"/>
      <c r="G36" s="324"/>
      <c r="H36" s="325"/>
    </row>
    <row r="37" spans="1:12" ht="15.75" thickBot="1">
      <c r="A37" s="646" t="s">
        <v>630</v>
      </c>
      <c r="B37" s="647"/>
      <c r="C37" s="647"/>
      <c r="D37" s="647"/>
      <c r="E37" s="647"/>
      <c r="F37" s="647"/>
      <c r="G37" s="647"/>
      <c r="H37" s="648"/>
      <c r="I37" s="318"/>
      <c r="J37" s="318"/>
    </row>
    <row r="38" spans="1:12" ht="15.75" thickBot="1">
      <c r="A38" s="316" t="s">
        <v>631</v>
      </c>
      <c r="B38" s="643" t="s">
        <v>632</v>
      </c>
      <c r="C38" s="644"/>
      <c r="D38" s="644"/>
      <c r="E38" s="644"/>
      <c r="F38" s="645"/>
      <c r="G38" s="317">
        <v>6.23</v>
      </c>
      <c r="H38" s="317">
        <v>4.7699999999999996</v>
      </c>
    </row>
    <row r="39" spans="1:12" ht="15.75" thickBot="1">
      <c r="A39" s="316" t="s">
        <v>633</v>
      </c>
      <c r="B39" s="633" t="s">
        <v>634</v>
      </c>
      <c r="C39" s="633"/>
      <c r="D39" s="633"/>
      <c r="E39" s="633"/>
      <c r="F39" s="633"/>
      <c r="G39" s="317">
        <v>0.15</v>
      </c>
      <c r="H39" s="317">
        <v>0.11</v>
      </c>
    </row>
    <row r="40" spans="1:12" ht="15.75" thickBot="1">
      <c r="A40" s="316" t="s">
        <v>635</v>
      </c>
      <c r="B40" s="633" t="s">
        <v>636</v>
      </c>
      <c r="C40" s="633"/>
      <c r="D40" s="633"/>
      <c r="E40" s="633"/>
      <c r="F40" s="633"/>
      <c r="G40" s="317">
        <v>3.5</v>
      </c>
      <c r="H40" s="317">
        <v>2.67</v>
      </c>
    </row>
    <row r="41" spans="1:12" ht="15.75" thickBot="1">
      <c r="A41" s="316" t="s">
        <v>637</v>
      </c>
      <c r="B41" s="633" t="s">
        <v>638</v>
      </c>
      <c r="C41" s="633"/>
      <c r="D41" s="633"/>
      <c r="E41" s="633"/>
      <c r="F41" s="633"/>
      <c r="G41" s="317">
        <v>4.9400000000000004</v>
      </c>
      <c r="H41" s="317">
        <v>3.77</v>
      </c>
      <c r="L41" s="326"/>
    </row>
    <row r="42" spans="1:12" ht="15.75" thickBot="1">
      <c r="A42" s="316" t="s">
        <v>639</v>
      </c>
      <c r="B42" s="643" t="s">
        <v>640</v>
      </c>
      <c r="C42" s="644"/>
      <c r="D42" s="644"/>
      <c r="E42" s="644"/>
      <c r="F42" s="645"/>
      <c r="G42" s="317">
        <v>0.52</v>
      </c>
      <c r="H42" s="317">
        <v>0.4</v>
      </c>
    </row>
    <row r="43" spans="1:12" s="322" customFormat="1" ht="15.75" thickBot="1">
      <c r="A43" s="319" t="s">
        <v>641</v>
      </c>
      <c r="B43" s="640" t="s">
        <v>642</v>
      </c>
      <c r="C43" s="641"/>
      <c r="D43" s="641"/>
      <c r="E43" s="641"/>
      <c r="F43" s="642"/>
      <c r="G43" s="320">
        <f>SUM(G38:G42)</f>
        <v>15.34</v>
      </c>
      <c r="H43" s="320">
        <f>SUM(H38:H42)</f>
        <v>11.72</v>
      </c>
    </row>
    <row r="44" spans="1:12" ht="8.1" customHeight="1" thickBot="1">
      <c r="A44" s="323"/>
      <c r="B44" s="324"/>
      <c r="C44" s="324"/>
      <c r="D44" s="324"/>
      <c r="E44" s="324"/>
      <c r="F44" s="324"/>
      <c r="G44" s="324"/>
      <c r="H44" s="325"/>
    </row>
    <row r="45" spans="1:12" ht="15.75" thickBot="1">
      <c r="A45" s="646" t="s">
        <v>643</v>
      </c>
      <c r="B45" s="647"/>
      <c r="C45" s="647"/>
      <c r="D45" s="647"/>
      <c r="E45" s="647"/>
      <c r="F45" s="647"/>
      <c r="G45" s="647"/>
      <c r="H45" s="648"/>
    </row>
    <row r="46" spans="1:12" ht="15.75" thickBot="1">
      <c r="A46" s="316" t="s">
        <v>644</v>
      </c>
      <c r="B46" s="632" t="s">
        <v>645</v>
      </c>
      <c r="C46" s="633"/>
      <c r="D46" s="633"/>
      <c r="E46" s="633"/>
      <c r="F46" s="634"/>
      <c r="G46" s="317">
        <v>8.2100000000000009</v>
      </c>
      <c r="H46" s="317">
        <v>3.1</v>
      </c>
      <c r="I46" s="318"/>
      <c r="J46" s="318"/>
    </row>
    <row r="47" spans="1:12">
      <c r="A47" s="630" t="s">
        <v>646</v>
      </c>
      <c r="B47" s="632" t="s">
        <v>647</v>
      </c>
      <c r="C47" s="633"/>
      <c r="D47" s="633"/>
      <c r="E47" s="633"/>
      <c r="F47" s="634"/>
      <c r="G47" s="635">
        <v>0.53</v>
      </c>
      <c r="H47" s="635">
        <v>0.4</v>
      </c>
    </row>
    <row r="48" spans="1:12" ht="15.75" thickBot="1">
      <c r="A48" s="631"/>
      <c r="B48" s="637" t="s">
        <v>648</v>
      </c>
      <c r="C48" s="638"/>
      <c r="D48" s="638"/>
      <c r="E48" s="638"/>
      <c r="F48" s="639"/>
      <c r="G48" s="636"/>
      <c r="H48" s="636"/>
    </row>
    <row r="49" spans="1:8" s="322" customFormat="1" ht="15.75" thickBot="1">
      <c r="A49" s="319" t="s">
        <v>649</v>
      </c>
      <c r="B49" s="640" t="s">
        <v>650</v>
      </c>
      <c r="C49" s="641"/>
      <c r="D49" s="641"/>
      <c r="E49" s="641"/>
      <c r="F49" s="642"/>
      <c r="G49" s="320">
        <f>SUM(G46:G48)</f>
        <v>8.74</v>
      </c>
      <c r="H49" s="320">
        <f>SUM(H46:H48)</f>
        <v>3.5</v>
      </c>
    </row>
    <row r="50" spans="1:8" ht="7.5" customHeight="1" thickBot="1">
      <c r="A50" s="323"/>
      <c r="B50" s="324"/>
      <c r="C50" s="324"/>
      <c r="D50" s="324"/>
      <c r="E50" s="324"/>
      <c r="F50" s="324"/>
      <c r="G50" s="324"/>
      <c r="H50" s="325"/>
    </row>
    <row r="51" spans="1:8" ht="15.75" thickBot="1">
      <c r="A51" s="628" t="s">
        <v>651</v>
      </c>
      <c r="B51" s="629"/>
      <c r="C51" s="629"/>
      <c r="D51" s="629"/>
      <c r="E51" s="629"/>
      <c r="F51" s="629"/>
      <c r="G51" s="327">
        <f>G49+G43+G35+G22</f>
        <v>88.03</v>
      </c>
      <c r="H51" s="327">
        <f>H49+H43+H35+H22</f>
        <v>50.42</v>
      </c>
    </row>
    <row r="52" spans="1:8">
      <c r="A52" s="312"/>
    </row>
    <row r="53" spans="1:8" s="328" customFormat="1" ht="42" customHeight="1">
      <c r="A53" s="606" t="s">
        <v>652</v>
      </c>
      <c r="B53" s="606"/>
      <c r="C53" s="606"/>
      <c r="D53" s="606"/>
      <c r="E53" s="606"/>
      <c r="F53" s="606"/>
      <c r="G53" s="606"/>
      <c r="H53" s="606"/>
    </row>
    <row r="54" spans="1:8">
      <c r="F54" s="431" t="s">
        <v>178</v>
      </c>
      <c r="G54" s="431"/>
      <c r="H54" s="431"/>
    </row>
    <row r="55" spans="1:8">
      <c r="F55" s="430" t="s">
        <v>790</v>
      </c>
      <c r="G55" s="430"/>
      <c r="H55" s="430"/>
    </row>
    <row r="56" spans="1:8">
      <c r="F56" s="430" t="s">
        <v>791</v>
      </c>
      <c r="G56" s="430"/>
      <c r="H56" s="430"/>
    </row>
    <row r="57" spans="1:8">
      <c r="F57" s="430" t="s">
        <v>177</v>
      </c>
      <c r="G57" s="430"/>
      <c r="H57" s="430"/>
    </row>
    <row r="58" spans="1:8">
      <c r="F58" s="557" t="s">
        <v>792</v>
      </c>
      <c r="G58" s="557"/>
      <c r="H58" s="557"/>
    </row>
    <row r="59" spans="1:8">
      <c r="F59" s="304"/>
      <c r="G59" s="305"/>
      <c r="H59" s="304"/>
    </row>
  </sheetData>
  <mergeCells count="45">
    <mergeCell ref="F58:H58"/>
    <mergeCell ref="B19:F19"/>
    <mergeCell ref="A1:H1"/>
    <mergeCell ref="A2:H2"/>
    <mergeCell ref="A8:H8"/>
    <mergeCell ref="B10:F10"/>
    <mergeCell ref="A12:H12"/>
    <mergeCell ref="B13:F13"/>
    <mergeCell ref="B14:F14"/>
    <mergeCell ref="B15:F15"/>
    <mergeCell ref="B16:F16"/>
    <mergeCell ref="B17:F17"/>
    <mergeCell ref="B18:F18"/>
    <mergeCell ref="B32:F32"/>
    <mergeCell ref="B20:F20"/>
    <mergeCell ref="B21:F21"/>
    <mergeCell ref="B22:F22"/>
    <mergeCell ref="A24:H24"/>
    <mergeCell ref="B25:F25"/>
    <mergeCell ref="B26:F26"/>
    <mergeCell ref="B27:F27"/>
    <mergeCell ref="B28:F28"/>
    <mergeCell ref="B29:F29"/>
    <mergeCell ref="B30:F30"/>
    <mergeCell ref="B31:F31"/>
    <mergeCell ref="B46:F46"/>
    <mergeCell ref="B33:F33"/>
    <mergeCell ref="B34:F34"/>
    <mergeCell ref="B35:F35"/>
    <mergeCell ref="A37:H37"/>
    <mergeCell ref="B38:F38"/>
    <mergeCell ref="B39:F39"/>
    <mergeCell ref="B40:F40"/>
    <mergeCell ref="B41:F41"/>
    <mergeCell ref="B42:F42"/>
    <mergeCell ref="B43:F43"/>
    <mergeCell ref="A45:H45"/>
    <mergeCell ref="A51:F51"/>
    <mergeCell ref="A53:H53"/>
    <mergeCell ref="A47:A48"/>
    <mergeCell ref="B47:F47"/>
    <mergeCell ref="G47:G48"/>
    <mergeCell ref="H47:H48"/>
    <mergeCell ref="B48:F48"/>
    <mergeCell ref="B49:F49"/>
  </mergeCells>
  <printOptions horizontalCentered="1" verticalCentered="1"/>
  <pageMargins left="0.7" right="0.7" top="0.75" bottom="0.75" header="0.3" footer="0.3"/>
  <pageSetup paperSize="9" scale="8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D1517-3415-4CEF-8CC3-D450405E110E}">
  <sheetPr>
    <tabColor rgb="FF7030A0"/>
  </sheetPr>
  <dimension ref="A1:R247"/>
  <sheetViews>
    <sheetView topLeftCell="A178" zoomScale="90" zoomScaleNormal="90" workbookViewId="0">
      <selection activeCell="I237" sqref="I237"/>
    </sheetView>
  </sheetViews>
  <sheetFormatPr defaultRowHeight="15"/>
  <cols>
    <col min="1" max="1" width="4.85546875" bestFit="1" customWidth="1"/>
    <col min="2" max="2" width="8.140625" bestFit="1" customWidth="1"/>
    <col min="3" max="3" width="51.5703125" customWidth="1"/>
    <col min="4" max="4" width="5" bestFit="1" customWidth="1"/>
    <col min="5" max="5" width="7.42578125" bestFit="1" customWidth="1"/>
    <col min="6" max="6" width="7.85546875" bestFit="1" customWidth="1"/>
    <col min="7" max="7" width="13.5703125" bestFit="1" customWidth="1"/>
    <col min="8" max="8" width="13.85546875" bestFit="1" customWidth="1"/>
    <col min="9" max="11" width="15" bestFit="1" customWidth="1"/>
    <col min="12" max="12" width="8.5703125" style="164" bestFit="1" customWidth="1"/>
    <col min="13" max="14" width="8.42578125" bestFit="1" customWidth="1"/>
    <col min="15" max="15" width="7.28515625" bestFit="1" customWidth="1"/>
    <col min="16" max="16" width="9.7109375" bestFit="1" customWidth="1"/>
    <col min="17" max="17" width="10.5703125" bestFit="1" customWidth="1"/>
  </cols>
  <sheetData>
    <row r="1" spans="1:18" s="103" customFormat="1" ht="15.75">
      <c r="A1" s="661" t="s">
        <v>358</v>
      </c>
      <c r="B1" s="661"/>
      <c r="C1" s="661"/>
      <c r="D1" s="661"/>
      <c r="E1" s="661"/>
      <c r="F1" s="661"/>
      <c r="G1" s="661"/>
      <c r="L1" s="162"/>
    </row>
    <row r="2" spans="1:18" s="103" customFormat="1" ht="15.75">
      <c r="A2" s="104"/>
      <c r="B2" s="104"/>
      <c r="C2" s="14"/>
      <c r="D2" s="13"/>
      <c r="E2" s="105"/>
      <c r="F2" s="106"/>
      <c r="G2" s="106"/>
      <c r="L2" s="162"/>
    </row>
    <row r="3" spans="1:18" s="103" customFormat="1" ht="15.75">
      <c r="A3" s="661" t="s">
        <v>380</v>
      </c>
      <c r="B3" s="661"/>
      <c r="C3" s="661"/>
      <c r="D3" s="661"/>
      <c r="E3" s="661"/>
      <c r="F3" s="661"/>
      <c r="G3" s="661"/>
      <c r="L3" s="162"/>
    </row>
    <row r="4" spans="1:18" s="103" customFormat="1" ht="15.75">
      <c r="A4" s="104"/>
      <c r="B4" s="104"/>
      <c r="C4" s="14"/>
      <c r="D4" s="13"/>
      <c r="E4" s="105"/>
      <c r="F4" s="106"/>
      <c r="G4" s="106"/>
      <c r="L4" s="162"/>
    </row>
    <row r="5" spans="1:18" s="103" customFormat="1" ht="38.25">
      <c r="A5" s="107" t="s">
        <v>202</v>
      </c>
      <c r="B5" s="107" t="s">
        <v>203</v>
      </c>
      <c r="C5" s="108" t="s">
        <v>204</v>
      </c>
      <c r="D5" s="108" t="s">
        <v>205</v>
      </c>
      <c r="E5" s="109" t="s">
        <v>206</v>
      </c>
      <c r="F5" s="109" t="s">
        <v>207</v>
      </c>
      <c r="G5" s="109" t="s">
        <v>208</v>
      </c>
      <c r="L5" s="162"/>
    </row>
    <row r="6" spans="1:18" s="103" customFormat="1">
      <c r="A6" s="110"/>
      <c r="B6" s="110"/>
      <c r="C6" s="71"/>
      <c r="D6" s="71"/>
      <c r="E6" s="111"/>
      <c r="F6" s="111"/>
      <c r="G6" s="111"/>
      <c r="L6" s="162"/>
    </row>
    <row r="7" spans="1:18" s="103" customFormat="1">
      <c r="A7" s="112">
        <v>1</v>
      </c>
      <c r="B7" s="112"/>
      <c r="C7" s="113" t="s">
        <v>209</v>
      </c>
      <c r="D7" s="114" t="s">
        <v>41</v>
      </c>
      <c r="E7" s="115"/>
      <c r="F7" s="115" t="s">
        <v>41</v>
      </c>
      <c r="G7" s="115"/>
      <c r="H7" s="151">
        <v>47</v>
      </c>
      <c r="I7" s="151">
        <v>43</v>
      </c>
      <c r="J7" s="151">
        <v>38</v>
      </c>
      <c r="K7" s="151" t="s">
        <v>435</v>
      </c>
      <c r="L7" s="151">
        <v>47</v>
      </c>
      <c r="M7" s="151">
        <v>43</v>
      </c>
      <c r="N7" s="151">
        <v>38</v>
      </c>
    </row>
    <row r="8" spans="1:18" s="103" customFormat="1">
      <c r="A8" s="116" t="s">
        <v>51</v>
      </c>
      <c r="B8" s="116"/>
      <c r="C8" s="117" t="s">
        <v>210</v>
      </c>
      <c r="D8" s="118"/>
      <c r="E8" s="119"/>
      <c r="F8" s="119"/>
      <c r="G8" s="119"/>
      <c r="H8" s="150"/>
      <c r="L8" s="199" t="s">
        <v>185</v>
      </c>
      <c r="M8" s="199" t="s">
        <v>185</v>
      </c>
      <c r="N8" s="199" t="s">
        <v>185</v>
      </c>
      <c r="P8" s="151"/>
      <c r="Q8" s="151"/>
      <c r="R8" s="151"/>
    </row>
    <row r="9" spans="1:18" s="103" customFormat="1" ht="25.5">
      <c r="A9" s="120"/>
      <c r="B9" s="120" t="s">
        <v>64</v>
      </c>
      <c r="C9" s="121" t="s">
        <v>211</v>
      </c>
      <c r="D9" s="122" t="s">
        <v>212</v>
      </c>
      <c r="E9" s="123">
        <v>53.52</v>
      </c>
      <c r="F9" s="124">
        <v>50.04</v>
      </c>
      <c r="G9" s="124">
        <f t="shared" ref="G9:G14" si="0">ROUND(E9*F9,2)</f>
        <v>2678.14</v>
      </c>
      <c r="H9" s="149">
        <f>G9*3</f>
        <v>8034.42</v>
      </c>
      <c r="I9" s="149" t="e">
        <f>#REF!*12</f>
        <v>#REF!</v>
      </c>
      <c r="J9" s="149" t="e">
        <f>15*#REF!</f>
        <v>#REF!</v>
      </c>
      <c r="K9" s="150" t="e">
        <f>J9+I9+H9</f>
        <v>#REF!</v>
      </c>
      <c r="L9" s="165">
        <f t="shared" ref="L9:L14" si="1">H9*100/$H$15</f>
        <v>41.451628880276374</v>
      </c>
      <c r="M9" s="165" t="e">
        <f t="shared" ref="M9:M14" si="2">I9*100/$I$15</f>
        <v>#REF!</v>
      </c>
      <c r="N9" s="165" t="e">
        <f t="shared" ref="N9:N14" si="3">J9*100/$J$15</f>
        <v>#REF!</v>
      </c>
      <c r="P9" s="162"/>
      <c r="Q9" s="162"/>
      <c r="R9" s="162"/>
    </row>
    <row r="10" spans="1:18" s="103" customFormat="1">
      <c r="A10" s="120"/>
      <c r="B10" s="120" t="s">
        <v>65</v>
      </c>
      <c r="C10" s="121" t="s">
        <v>213</v>
      </c>
      <c r="D10" s="122" t="s">
        <v>214</v>
      </c>
      <c r="E10" s="123">
        <v>5.9969999999999999</v>
      </c>
      <c r="F10" s="124">
        <v>44.71</v>
      </c>
      <c r="G10" s="124">
        <f t="shared" si="0"/>
        <v>268.13</v>
      </c>
      <c r="H10" s="149">
        <f t="shared" ref="H10:H128" si="4">G10*3</f>
        <v>804.39</v>
      </c>
      <c r="I10" s="149" t="e">
        <f>#REF!*12</f>
        <v>#REF!</v>
      </c>
      <c r="J10" s="149" t="e">
        <f>15*#REF!</f>
        <v>#REF!</v>
      </c>
      <c r="K10" s="150" t="e">
        <f t="shared" ref="K10:K14" si="5">J10+I10+H10</f>
        <v>#REF!</v>
      </c>
      <c r="L10" s="165">
        <f t="shared" si="1"/>
        <v>4.1500538626317161</v>
      </c>
      <c r="M10" s="165" t="e">
        <f t="shared" si="2"/>
        <v>#REF!</v>
      </c>
      <c r="N10" s="165" t="e">
        <f t="shared" si="3"/>
        <v>#REF!</v>
      </c>
      <c r="P10" s="162"/>
      <c r="Q10" s="162"/>
      <c r="R10" s="162"/>
    </row>
    <row r="11" spans="1:18" s="103" customFormat="1">
      <c r="A11" s="120"/>
      <c r="B11" s="120" t="s">
        <v>66</v>
      </c>
      <c r="C11" s="121" t="s">
        <v>215</v>
      </c>
      <c r="D11" s="122" t="s">
        <v>214</v>
      </c>
      <c r="E11" s="123">
        <v>4.5579999999999998</v>
      </c>
      <c r="F11" s="124">
        <v>29.42</v>
      </c>
      <c r="G11" s="124">
        <f t="shared" si="0"/>
        <v>134.1</v>
      </c>
      <c r="H11" s="149">
        <f t="shared" si="4"/>
        <v>402.29999999999995</v>
      </c>
      <c r="I11" s="149" t="e">
        <f>#REF!*12</f>
        <v>#REF!</v>
      </c>
      <c r="J11" s="149" t="e">
        <f>15*#REF!</f>
        <v>#REF!</v>
      </c>
      <c r="K11" s="150" t="e">
        <f t="shared" si="5"/>
        <v>#REF!</v>
      </c>
      <c r="L11" s="165">
        <f t="shared" si="1"/>
        <v>2.0755686531865627</v>
      </c>
      <c r="M11" s="165" t="e">
        <f t="shared" si="2"/>
        <v>#REF!</v>
      </c>
      <c r="N11" s="165" t="e">
        <f t="shared" si="3"/>
        <v>#REF!</v>
      </c>
      <c r="P11" s="162"/>
      <c r="Q11" s="162"/>
      <c r="R11" s="162"/>
    </row>
    <row r="12" spans="1:18" s="103" customFormat="1">
      <c r="A12" s="120"/>
      <c r="B12" s="120" t="s">
        <v>67</v>
      </c>
      <c r="C12" s="121" t="s">
        <v>216</v>
      </c>
      <c r="D12" s="122" t="s">
        <v>214</v>
      </c>
      <c r="E12" s="123">
        <v>8.3580000000000005</v>
      </c>
      <c r="F12" s="124">
        <v>36.76</v>
      </c>
      <c r="G12" s="124">
        <f t="shared" si="0"/>
        <v>307.24</v>
      </c>
      <c r="H12" s="149">
        <f t="shared" si="4"/>
        <v>921.72</v>
      </c>
      <c r="I12" s="149" t="e">
        <f>#REF!*12</f>
        <v>#REF!</v>
      </c>
      <c r="J12" s="149" t="e">
        <f>15*#REF!</f>
        <v>#REF!</v>
      </c>
      <c r="K12" s="150" t="e">
        <f t="shared" si="5"/>
        <v>#REF!</v>
      </c>
      <c r="L12" s="165">
        <f t="shared" si="1"/>
        <v>4.755389358725127</v>
      </c>
      <c r="M12" s="165" t="e">
        <f t="shared" si="2"/>
        <v>#REF!</v>
      </c>
      <c r="N12" s="165" t="e">
        <f t="shared" si="3"/>
        <v>#REF!</v>
      </c>
      <c r="P12" s="162"/>
      <c r="Q12" s="162"/>
      <c r="R12" s="162"/>
    </row>
    <row r="13" spans="1:18" s="103" customFormat="1">
      <c r="A13" s="120"/>
      <c r="B13" s="120" t="s">
        <v>68</v>
      </c>
      <c r="C13" s="121" t="s">
        <v>217</v>
      </c>
      <c r="D13" s="122" t="s">
        <v>218</v>
      </c>
      <c r="E13" s="123">
        <v>37.5</v>
      </c>
      <c r="F13" s="124">
        <v>43.09</v>
      </c>
      <c r="G13" s="124">
        <f t="shared" si="0"/>
        <v>1615.88</v>
      </c>
      <c r="H13" s="149">
        <f t="shared" si="4"/>
        <v>4847.6400000000003</v>
      </c>
      <c r="I13" s="149" t="e">
        <f>#REF!*12</f>
        <v>#REF!</v>
      </c>
      <c r="J13" s="149" t="e">
        <f>15*#REF!</f>
        <v>#REF!</v>
      </c>
      <c r="K13" s="150" t="e">
        <f t="shared" si="5"/>
        <v>#REF!</v>
      </c>
      <c r="L13" s="165">
        <f t="shared" si="1"/>
        <v>25.010215326704724</v>
      </c>
      <c r="M13" s="165" t="e">
        <f t="shared" si="2"/>
        <v>#REF!</v>
      </c>
      <c r="N13" s="165" t="e">
        <f t="shared" si="3"/>
        <v>#REF!</v>
      </c>
      <c r="P13" s="162"/>
      <c r="Q13" s="162"/>
      <c r="R13" s="162"/>
    </row>
    <row r="14" spans="1:18" s="103" customFormat="1" ht="38.25">
      <c r="A14" s="120"/>
      <c r="B14" s="120" t="s">
        <v>70</v>
      </c>
      <c r="C14" s="121" t="s">
        <v>219</v>
      </c>
      <c r="D14" s="122" t="s">
        <v>214</v>
      </c>
      <c r="E14" s="123">
        <v>1.4390000000000001</v>
      </c>
      <c r="F14" s="124">
        <v>1012.78</v>
      </c>
      <c r="G14" s="124">
        <f t="shared" si="0"/>
        <v>1457.39</v>
      </c>
      <c r="H14" s="149">
        <f t="shared" si="4"/>
        <v>4372.17</v>
      </c>
      <c r="I14" s="149" t="e">
        <f>#REF!*12</f>
        <v>#REF!</v>
      </c>
      <c r="J14" s="149" t="e">
        <f>15*#REF!</f>
        <v>#REF!</v>
      </c>
      <c r="K14" s="150" t="e">
        <f t="shared" si="5"/>
        <v>#REF!</v>
      </c>
      <c r="L14" s="165">
        <f t="shared" si="1"/>
        <v>22.557143918475504</v>
      </c>
      <c r="M14" s="165" t="e">
        <f t="shared" si="2"/>
        <v>#REF!</v>
      </c>
      <c r="N14" s="165" t="e">
        <f t="shared" si="3"/>
        <v>#REF!</v>
      </c>
      <c r="P14" s="162"/>
      <c r="Q14" s="162"/>
      <c r="R14" s="162"/>
    </row>
    <row r="15" spans="1:18" s="103" customFormat="1">
      <c r="A15" s="33"/>
      <c r="B15" s="129"/>
      <c r="C15" s="130" t="s">
        <v>220</v>
      </c>
      <c r="D15" s="129"/>
      <c r="E15" s="131"/>
      <c r="F15" s="132"/>
      <c r="G15" s="133">
        <f>SUM(G9:G14)</f>
        <v>6460.88</v>
      </c>
      <c r="H15" s="152">
        <f>G15*3</f>
        <v>19382.64</v>
      </c>
      <c r="I15" s="152" t="e">
        <f>#REF!*12</f>
        <v>#REF!</v>
      </c>
      <c r="J15" s="152" t="e">
        <f>15*#REF!</f>
        <v>#REF!</v>
      </c>
      <c r="K15" s="153" t="e">
        <f>J15+I15+H15</f>
        <v>#REF!</v>
      </c>
      <c r="L15" s="152"/>
      <c r="M15" s="165"/>
      <c r="N15" s="165"/>
    </row>
    <row r="16" spans="1:18" s="103" customFormat="1">
      <c r="A16" s="33"/>
      <c r="B16" s="129"/>
      <c r="C16" s="130"/>
      <c r="D16" s="129"/>
      <c r="E16" s="131"/>
      <c r="F16" s="132"/>
      <c r="G16" s="133"/>
      <c r="H16" s="160" t="e">
        <f>H15/$K$15</f>
        <v>#REF!</v>
      </c>
      <c r="I16" s="160" t="e">
        <f>I15/$K$15</f>
        <v>#REF!</v>
      </c>
      <c r="J16" s="160" t="e">
        <f>J15/$K$15</f>
        <v>#REF!</v>
      </c>
      <c r="K16" s="198">
        <v>7.0099999999999996E-2</v>
      </c>
      <c r="L16" s="152"/>
      <c r="M16" s="165"/>
      <c r="N16" s="165"/>
    </row>
    <row r="17" spans="1:17" s="103" customFormat="1">
      <c r="A17" s="33"/>
      <c r="B17" s="129"/>
      <c r="C17" s="130"/>
      <c r="D17" s="129"/>
      <c r="E17" s="131"/>
      <c r="F17" s="132"/>
      <c r="G17" s="133"/>
      <c r="H17" s="165" t="e">
        <f>H16*$K$16*100</f>
        <v>#REF!</v>
      </c>
      <c r="I17" s="165" t="e">
        <f>I16*$K$16*100</f>
        <v>#REF!</v>
      </c>
      <c r="J17" s="165" t="e">
        <f>J16*$K$16*100</f>
        <v>#REF!</v>
      </c>
      <c r="K17" s="152"/>
      <c r="L17" s="152"/>
      <c r="M17" s="165"/>
      <c r="N17" s="165"/>
    </row>
    <row r="18" spans="1:17" s="103" customFormat="1">
      <c r="A18" s="112">
        <v>2</v>
      </c>
      <c r="B18" s="112"/>
      <c r="C18" s="113" t="s">
        <v>221</v>
      </c>
      <c r="D18" s="114" t="s">
        <v>41</v>
      </c>
      <c r="E18" s="134"/>
      <c r="F18" s="115"/>
      <c r="G18" s="115"/>
      <c r="H18" s="151">
        <v>47</v>
      </c>
      <c r="I18" s="151">
        <v>43</v>
      </c>
      <c r="J18" s="151">
        <v>38</v>
      </c>
      <c r="K18" s="151" t="s">
        <v>435</v>
      </c>
      <c r="L18" s="151">
        <v>47</v>
      </c>
      <c r="M18" s="151">
        <v>43</v>
      </c>
      <c r="N18" s="151">
        <v>38</v>
      </c>
    </row>
    <row r="19" spans="1:17" s="103" customFormat="1">
      <c r="A19" s="112"/>
      <c r="B19" s="112"/>
      <c r="C19" s="113"/>
      <c r="D19" s="114"/>
      <c r="E19" s="134"/>
      <c r="F19" s="115"/>
      <c r="G19" s="115"/>
      <c r="H19" s="150"/>
      <c r="L19" s="199" t="s">
        <v>185</v>
      </c>
      <c r="M19" s="199" t="s">
        <v>185</v>
      </c>
      <c r="N19" s="199" t="s">
        <v>185</v>
      </c>
    </row>
    <row r="20" spans="1:17" s="103" customFormat="1" ht="25.5">
      <c r="A20" s="120"/>
      <c r="B20" s="120" t="s">
        <v>1</v>
      </c>
      <c r="C20" s="166" t="s">
        <v>222</v>
      </c>
      <c r="D20" s="122" t="s">
        <v>214</v>
      </c>
      <c r="E20" s="123">
        <v>5.5E-2</v>
      </c>
      <c r="F20" s="124">
        <v>1152.67</v>
      </c>
      <c r="G20" s="124">
        <f t="shared" ref="G20:G24" si="6">ROUND(E20*F20,2)</f>
        <v>63.4</v>
      </c>
      <c r="H20" s="149">
        <f t="shared" si="4"/>
        <v>190.2</v>
      </c>
      <c r="I20" s="149" t="e">
        <f>#REF!*12</f>
        <v>#REF!</v>
      </c>
      <c r="J20" s="149" t="e">
        <f>15*#REF!</f>
        <v>#REF!</v>
      </c>
      <c r="K20" s="150" t="e">
        <f t="shared" ref="K20:K24" si="7">J20+I20+H20</f>
        <v>#REF!</v>
      </c>
      <c r="L20" s="165">
        <f t="shared" ref="L20:L28" si="8">H20*100/$H$28</f>
        <v>0.66482528936678009</v>
      </c>
      <c r="M20" s="165" t="e">
        <f t="shared" ref="M20:M28" si="9">I20*100/$I$28</f>
        <v>#REF!</v>
      </c>
      <c r="N20" s="165" t="e">
        <f t="shared" ref="N20:N28" si="10">J20*100/$J$28</f>
        <v>#REF!</v>
      </c>
    </row>
    <row r="21" spans="1:17" s="103" customFormat="1" ht="25.5">
      <c r="A21" s="120"/>
      <c r="B21" s="120" t="s">
        <v>2</v>
      </c>
      <c r="C21" s="166" t="s">
        <v>223</v>
      </c>
      <c r="D21" s="122" t="s">
        <v>214</v>
      </c>
      <c r="E21" s="123">
        <v>5.8000000000000003E-2</v>
      </c>
      <c r="F21" s="124">
        <v>1237.07</v>
      </c>
      <c r="G21" s="124">
        <f t="shared" si="6"/>
        <v>71.75</v>
      </c>
      <c r="H21" s="149">
        <f t="shared" si="4"/>
        <v>215.25</v>
      </c>
      <c r="I21" s="149" t="e">
        <f>#REF!*12</f>
        <v>#REF!</v>
      </c>
      <c r="J21" s="149" t="e">
        <f>15*#REF!</f>
        <v>#REF!</v>
      </c>
      <c r="K21" s="150" t="e">
        <f t="shared" si="7"/>
        <v>#REF!</v>
      </c>
      <c r="L21" s="165">
        <f t="shared" si="8"/>
        <v>0.75238508694111161</v>
      </c>
      <c r="M21" s="165" t="e">
        <f t="shared" si="9"/>
        <v>#REF!</v>
      </c>
      <c r="N21" s="165" t="e">
        <f t="shared" si="10"/>
        <v>#REF!</v>
      </c>
    </row>
    <row r="22" spans="1:17" s="103" customFormat="1" ht="38.25">
      <c r="A22" s="120"/>
      <c r="B22" s="120" t="s">
        <v>55</v>
      </c>
      <c r="C22" s="166" t="s">
        <v>224</v>
      </c>
      <c r="D22" s="122" t="s">
        <v>214</v>
      </c>
      <c r="E22" s="123">
        <v>1.405</v>
      </c>
      <c r="F22" s="124">
        <v>1388.01</v>
      </c>
      <c r="G22" s="124">
        <f t="shared" si="6"/>
        <v>1950.15</v>
      </c>
      <c r="H22" s="149">
        <f t="shared" si="4"/>
        <v>5850.4500000000007</v>
      </c>
      <c r="I22" s="149" t="e">
        <f>#REF!*12</f>
        <v>#REF!</v>
      </c>
      <c r="J22" s="149" t="e">
        <f>15*#REF!</f>
        <v>#REF!</v>
      </c>
      <c r="K22" s="150" t="e">
        <f t="shared" si="7"/>
        <v>#REF!</v>
      </c>
      <c r="L22" s="165">
        <f t="shared" si="8"/>
        <v>20.449669370009882</v>
      </c>
      <c r="M22" s="165" t="e">
        <f t="shared" si="9"/>
        <v>#REF!</v>
      </c>
      <c r="N22" s="165" t="e">
        <f t="shared" si="10"/>
        <v>#REF!</v>
      </c>
    </row>
    <row r="23" spans="1:17" s="103" customFormat="1" ht="25.5">
      <c r="A23" s="120"/>
      <c r="B23" s="120" t="s">
        <v>56</v>
      </c>
      <c r="C23" s="166" t="s">
        <v>225</v>
      </c>
      <c r="D23" s="122" t="s">
        <v>214</v>
      </c>
      <c r="E23" s="123">
        <v>0.88200000000000001</v>
      </c>
      <c r="F23" s="124">
        <v>1490.4</v>
      </c>
      <c r="G23" s="124">
        <f t="shared" si="6"/>
        <v>1314.53</v>
      </c>
      <c r="H23" s="149">
        <f t="shared" si="4"/>
        <v>3943.59</v>
      </c>
      <c r="I23" s="149" t="e">
        <f>#REF!*12</f>
        <v>#REF!</v>
      </c>
      <c r="J23" s="149" t="e">
        <f>15*#REF!</f>
        <v>#REF!</v>
      </c>
      <c r="K23" s="150" t="e">
        <f t="shared" si="7"/>
        <v>#REF!</v>
      </c>
      <c r="L23" s="165">
        <f t="shared" si="8"/>
        <v>13.784428826992325</v>
      </c>
      <c r="M23" s="165" t="e">
        <f t="shared" si="9"/>
        <v>#REF!</v>
      </c>
      <c r="N23" s="165" t="e">
        <f t="shared" si="10"/>
        <v>#REF!</v>
      </c>
    </row>
    <row r="24" spans="1:17" s="103" customFormat="1" ht="38.25">
      <c r="A24" s="120"/>
      <c r="B24" s="120" t="s">
        <v>57</v>
      </c>
      <c r="C24" s="166" t="s">
        <v>226</v>
      </c>
      <c r="D24" s="122" t="s">
        <v>212</v>
      </c>
      <c r="E24" s="123">
        <v>41.79</v>
      </c>
      <c r="F24" s="124">
        <v>55.48</v>
      </c>
      <c r="G24" s="124">
        <f t="shared" si="6"/>
        <v>2318.5100000000002</v>
      </c>
      <c r="H24" s="149">
        <f t="shared" si="4"/>
        <v>6955.5300000000007</v>
      </c>
      <c r="I24" s="149" t="e">
        <f>#REF!*12</f>
        <v>#REF!</v>
      </c>
      <c r="J24" s="149" t="e">
        <f>15*#REF!</f>
        <v>#REF!</v>
      </c>
      <c r="K24" s="150" t="e">
        <f t="shared" si="7"/>
        <v>#REF!</v>
      </c>
      <c r="L24" s="165">
        <f t="shared" si="8"/>
        <v>24.312367218450689</v>
      </c>
      <c r="M24" s="165" t="e">
        <f t="shared" si="9"/>
        <v>#REF!</v>
      </c>
      <c r="N24" s="165" t="e">
        <f t="shared" si="10"/>
        <v>#REF!</v>
      </c>
    </row>
    <row r="25" spans="1:17" s="103" customFormat="1" ht="51">
      <c r="A25" s="120"/>
      <c r="B25" s="120" t="s">
        <v>73</v>
      </c>
      <c r="C25" s="122" t="s">
        <v>227</v>
      </c>
      <c r="D25" s="122" t="s">
        <v>212</v>
      </c>
      <c r="E25" s="123">
        <v>101.38</v>
      </c>
      <c r="F25" s="124">
        <v>34.799999999999997</v>
      </c>
      <c r="G25" s="124">
        <f>ROUND(E25*F25,2)</f>
        <v>3528.02</v>
      </c>
      <c r="H25" s="149">
        <f t="shared" si="4"/>
        <v>10584.06</v>
      </c>
      <c r="I25" s="149" t="e">
        <f>#REF!*12</f>
        <v>#REF!</v>
      </c>
      <c r="J25" s="149" t="e">
        <f>15*#REF!</f>
        <v>#REF!</v>
      </c>
      <c r="K25" s="150" t="e">
        <f t="shared" ref="K25:K124" si="11">J25+I25+H25</f>
        <v>#REF!</v>
      </c>
      <c r="L25" s="165">
        <f t="shared" si="8"/>
        <v>36.995534974633877</v>
      </c>
      <c r="M25" s="165" t="e">
        <f t="shared" si="9"/>
        <v>#REF!</v>
      </c>
      <c r="N25" s="165" t="e">
        <f t="shared" si="10"/>
        <v>#REF!</v>
      </c>
    </row>
    <row r="26" spans="1:17" s="103" customFormat="1" ht="25.5">
      <c r="A26" s="120"/>
      <c r="B26" s="120" t="s">
        <v>75</v>
      </c>
      <c r="C26" s="121" t="s">
        <v>229</v>
      </c>
      <c r="D26" s="122" t="s">
        <v>214</v>
      </c>
      <c r="E26" s="123">
        <v>0.17599999999999999</v>
      </c>
      <c r="F26" s="124">
        <v>1037.27</v>
      </c>
      <c r="G26" s="124">
        <f>ROUND(E26*F26,2)</f>
        <v>182.56</v>
      </c>
      <c r="H26" s="149">
        <f t="shared" si="4"/>
        <v>547.68000000000006</v>
      </c>
      <c r="I26" s="149" t="e">
        <f>#REF!*12</f>
        <v>#REF!</v>
      </c>
      <c r="J26" s="149" t="e">
        <f>15*#REF!</f>
        <v>#REF!</v>
      </c>
      <c r="K26" s="150" t="e">
        <f t="shared" si="11"/>
        <v>#REF!</v>
      </c>
      <c r="L26" s="165">
        <f t="shared" si="8"/>
        <v>1.9143612748706529</v>
      </c>
      <c r="M26" s="165" t="e">
        <f t="shared" si="9"/>
        <v>#REF!</v>
      </c>
      <c r="N26" s="165" t="e">
        <f t="shared" si="10"/>
        <v>#REF!</v>
      </c>
    </row>
    <row r="27" spans="1:17" s="103" customFormat="1" ht="25.5">
      <c r="A27" s="120"/>
      <c r="B27" s="120" t="s">
        <v>76</v>
      </c>
      <c r="C27" s="121" t="s">
        <v>230</v>
      </c>
      <c r="D27" s="122" t="s">
        <v>214</v>
      </c>
      <c r="E27" s="123">
        <v>0.105</v>
      </c>
      <c r="F27" s="124">
        <v>1023.05</v>
      </c>
      <c r="G27" s="124">
        <f>ROUND(E27*F27,2)</f>
        <v>107.42</v>
      </c>
      <c r="H27" s="149">
        <f t="shared" si="4"/>
        <v>322.26</v>
      </c>
      <c r="I27" s="149" t="e">
        <f>#REF!*12</f>
        <v>#REF!</v>
      </c>
      <c r="J27" s="149" t="e">
        <f>15*#REF!</f>
        <v>#REF!</v>
      </c>
      <c r="K27" s="150" t="e">
        <f t="shared" si="11"/>
        <v>#REF!</v>
      </c>
      <c r="L27" s="165">
        <f t="shared" si="8"/>
        <v>1.1264279587346928</v>
      </c>
      <c r="M27" s="165" t="e">
        <f t="shared" si="9"/>
        <v>#REF!</v>
      </c>
      <c r="N27" s="165" t="e">
        <f t="shared" si="10"/>
        <v>#REF!</v>
      </c>
    </row>
    <row r="28" spans="1:17" s="103" customFormat="1">
      <c r="A28" s="33"/>
      <c r="B28" s="129"/>
      <c r="C28" s="130" t="s">
        <v>220</v>
      </c>
      <c r="D28" s="129"/>
      <c r="E28" s="131"/>
      <c r="F28" s="132"/>
      <c r="G28" s="133"/>
      <c r="H28" s="153">
        <f>SUM(H20:H27)</f>
        <v>28609.02</v>
      </c>
      <c r="I28" s="153" t="e">
        <f>SUM(I20:I27)</f>
        <v>#REF!</v>
      </c>
      <c r="J28" s="153" t="e">
        <f>SUM(J20:J27)</f>
        <v>#REF!</v>
      </c>
      <c r="K28" s="153" t="e">
        <f>SUM(K20:K27)</f>
        <v>#REF!</v>
      </c>
      <c r="L28" s="165">
        <f t="shared" si="8"/>
        <v>100</v>
      </c>
      <c r="M28" s="165" t="e">
        <f t="shared" si="9"/>
        <v>#REF!</v>
      </c>
      <c r="N28" s="165" t="e">
        <f t="shared" si="10"/>
        <v>#REF!</v>
      </c>
    </row>
    <row r="29" spans="1:17" s="103" customFormat="1">
      <c r="A29" s="33"/>
      <c r="B29" s="129"/>
      <c r="C29" s="130"/>
      <c r="D29" s="129"/>
      <c r="E29" s="131"/>
      <c r="F29" s="132"/>
      <c r="G29" s="133"/>
      <c r="H29" s="160" t="e">
        <f>H28/$K$28</f>
        <v>#REF!</v>
      </c>
      <c r="I29" s="160" t="e">
        <f t="shared" ref="I29:J29" si="12">I28/$K$28</f>
        <v>#REF!</v>
      </c>
      <c r="J29" s="160" t="e">
        <f t="shared" si="12"/>
        <v>#REF!</v>
      </c>
      <c r="K29" s="161">
        <v>0.1883</v>
      </c>
      <c r="L29" s="162"/>
      <c r="M29" s="165"/>
      <c r="N29" s="165"/>
    </row>
    <row r="30" spans="1:17" s="103" customFormat="1">
      <c r="A30" s="33"/>
      <c r="B30" s="129"/>
      <c r="C30" s="130"/>
      <c r="D30" s="129"/>
      <c r="E30" s="131"/>
      <c r="F30" s="132"/>
      <c r="G30" s="133"/>
      <c r="H30" s="165" t="e">
        <f>H29*$K$29*100</f>
        <v>#REF!</v>
      </c>
      <c r="I30" s="165" t="e">
        <f t="shared" ref="I30:J30" si="13">I29*$K$29*100</f>
        <v>#REF!</v>
      </c>
      <c r="J30" s="165" t="e">
        <f t="shared" si="13"/>
        <v>#REF!</v>
      </c>
      <c r="K30" s="153"/>
      <c r="L30" s="162"/>
      <c r="M30" s="165"/>
      <c r="N30" s="165"/>
    </row>
    <row r="31" spans="1:17" s="103" customFormat="1">
      <c r="A31" s="33"/>
      <c r="B31" s="129"/>
      <c r="C31" s="130"/>
      <c r="D31" s="129"/>
      <c r="E31" s="131"/>
      <c r="F31" s="132"/>
      <c r="G31" s="133"/>
      <c r="H31" s="153"/>
      <c r="I31" s="153"/>
      <c r="J31" s="153"/>
      <c r="K31" s="153"/>
      <c r="L31" s="162"/>
      <c r="M31" s="165"/>
      <c r="N31" s="165"/>
    </row>
    <row r="32" spans="1:17" s="103" customFormat="1">
      <c r="A32" s="112"/>
      <c r="B32" s="112"/>
      <c r="C32" s="113" t="s">
        <v>388</v>
      </c>
      <c r="D32" s="114"/>
      <c r="E32" s="134"/>
      <c r="F32" s="115"/>
      <c r="G32" s="115"/>
      <c r="H32" s="151">
        <v>47</v>
      </c>
      <c r="I32" s="151">
        <v>43</v>
      </c>
      <c r="J32" s="151">
        <v>38</v>
      </c>
      <c r="K32" s="151" t="s">
        <v>435</v>
      </c>
      <c r="L32" s="151">
        <v>47</v>
      </c>
      <c r="M32" s="151">
        <v>43</v>
      </c>
      <c r="N32" s="151">
        <v>38</v>
      </c>
      <c r="O32" s="151">
        <v>47</v>
      </c>
      <c r="P32" s="151">
        <v>43</v>
      </c>
      <c r="Q32" s="151">
        <v>38</v>
      </c>
    </row>
    <row r="33" spans="1:17" s="103" customFormat="1">
      <c r="A33" s="125" t="s">
        <v>77</v>
      </c>
      <c r="B33" s="125"/>
      <c r="C33" s="126" t="s">
        <v>231</v>
      </c>
      <c r="D33" s="127"/>
      <c r="E33" s="100"/>
      <c r="F33" s="128"/>
      <c r="G33" s="128"/>
      <c r="H33" s="150"/>
      <c r="L33" s="199" t="s">
        <v>185</v>
      </c>
      <c r="M33" s="199" t="s">
        <v>185</v>
      </c>
      <c r="N33" s="199" t="s">
        <v>185</v>
      </c>
      <c r="O33" s="199" t="s">
        <v>185</v>
      </c>
      <c r="P33" s="199" t="s">
        <v>185</v>
      </c>
      <c r="Q33" s="199" t="s">
        <v>185</v>
      </c>
    </row>
    <row r="34" spans="1:17" s="103" customFormat="1">
      <c r="A34" s="120"/>
      <c r="B34" s="120" t="s">
        <v>78</v>
      </c>
      <c r="C34" s="121" t="s">
        <v>232</v>
      </c>
      <c r="D34" s="122" t="s">
        <v>212</v>
      </c>
      <c r="E34" s="123">
        <v>0.6</v>
      </c>
      <c r="F34" s="124">
        <v>255.9</v>
      </c>
      <c r="G34" s="124">
        <f>ROUND(E34*F34,2)</f>
        <v>153.54</v>
      </c>
      <c r="H34" s="149">
        <f t="shared" si="4"/>
        <v>460.62</v>
      </c>
      <c r="I34" s="149" t="e">
        <f>#REF!*12</f>
        <v>#REF!</v>
      </c>
      <c r="J34" s="149" t="e">
        <f>15*#REF!</f>
        <v>#REF!</v>
      </c>
      <c r="K34" s="150" t="e">
        <f t="shared" si="11"/>
        <v>#REF!</v>
      </c>
      <c r="L34" s="165">
        <f>H34*100/$H$41</f>
        <v>3.7774377192680322</v>
      </c>
      <c r="M34" s="165" t="e">
        <f>I34*100/$I$41</f>
        <v>#REF!</v>
      </c>
      <c r="N34" s="165" t="e">
        <f>J34*100/$J$41</f>
        <v>#REF!</v>
      </c>
      <c r="O34" s="197">
        <f t="shared" ref="O34:P34" si="14">L34+L35</f>
        <v>39.008428749268077</v>
      </c>
      <c r="P34" s="197" t="e">
        <f t="shared" si="14"/>
        <v>#REF!</v>
      </c>
      <c r="Q34" s="197" t="e">
        <f>N34+N35</f>
        <v>#REF!</v>
      </c>
    </row>
    <row r="35" spans="1:17" s="103" customFormat="1">
      <c r="A35" s="120"/>
      <c r="B35" s="120" t="s">
        <v>79</v>
      </c>
      <c r="C35" s="121" t="s">
        <v>233</v>
      </c>
      <c r="D35" s="122" t="s">
        <v>212</v>
      </c>
      <c r="E35" s="123">
        <v>6.5</v>
      </c>
      <c r="F35" s="124">
        <v>220.31</v>
      </c>
      <c r="G35" s="124">
        <f>ROUND(E35*F35,2)</f>
        <v>1432.02</v>
      </c>
      <c r="H35" s="149">
        <f t="shared" si="4"/>
        <v>4296.0599999999995</v>
      </c>
      <c r="I35" s="149" t="e">
        <f>#REF!*12</f>
        <v>#REF!</v>
      </c>
      <c r="J35" s="149" t="e">
        <f>15*#REF!</f>
        <v>#REF!</v>
      </c>
      <c r="K35" s="150" t="e">
        <f t="shared" si="11"/>
        <v>#REF!</v>
      </c>
      <c r="L35" s="165">
        <f t="shared" ref="L35:L40" si="15">H35*100/$H$41</f>
        <v>35.230991030000048</v>
      </c>
      <c r="M35" s="165" t="e">
        <f t="shared" ref="M35:M40" si="16">I35*100/$I$41</f>
        <v>#REF!</v>
      </c>
      <c r="N35" s="165" t="e">
        <f t="shared" ref="N35:N40" si="17">J35*100/$J$41</f>
        <v>#REF!</v>
      </c>
      <c r="O35" s="197">
        <f t="shared" ref="O35:P35" si="18">L36</f>
        <v>14.737764044225102</v>
      </c>
      <c r="P35" s="197" t="e">
        <f t="shared" si="18"/>
        <v>#REF!</v>
      </c>
      <c r="Q35" s="197" t="e">
        <f>N36</f>
        <v>#REF!</v>
      </c>
    </row>
    <row r="36" spans="1:17" s="103" customFormat="1">
      <c r="A36" s="120"/>
      <c r="B36" s="120" t="s">
        <v>80</v>
      </c>
      <c r="C36" s="121" t="s">
        <v>234</v>
      </c>
      <c r="D36" s="122" t="s">
        <v>212</v>
      </c>
      <c r="E36" s="123">
        <v>1.72</v>
      </c>
      <c r="F36" s="124">
        <v>348.28</v>
      </c>
      <c r="G36" s="124">
        <f>ROUND(E36*F36,2)</f>
        <v>599.04</v>
      </c>
      <c r="H36" s="149">
        <f t="shared" si="4"/>
        <v>1797.12</v>
      </c>
      <c r="I36" s="149" t="e">
        <f>#REF!*12</f>
        <v>#REF!</v>
      </c>
      <c r="J36" s="149" t="e">
        <f>15*#REF!</f>
        <v>#REF!</v>
      </c>
      <c r="K36" s="150" t="e">
        <f t="shared" si="11"/>
        <v>#REF!</v>
      </c>
      <c r="L36" s="165">
        <f t="shared" si="15"/>
        <v>14.737764044225102</v>
      </c>
      <c r="M36" s="165" t="e">
        <f t="shared" si="16"/>
        <v>#REF!</v>
      </c>
      <c r="N36" s="165" t="e">
        <f t="shared" si="17"/>
        <v>#REF!</v>
      </c>
      <c r="O36" s="197">
        <f t="shared" ref="O36:P36" si="19">L38</f>
        <v>1.1344122263608762</v>
      </c>
      <c r="P36" s="197" t="e">
        <f t="shared" si="19"/>
        <v>#REF!</v>
      </c>
      <c r="Q36" s="197" t="e">
        <f>N38</f>
        <v>#REF!</v>
      </c>
    </row>
    <row r="37" spans="1:17" s="103" customFormat="1">
      <c r="A37" s="125" t="s">
        <v>4</v>
      </c>
      <c r="B37" s="125"/>
      <c r="C37" s="126" t="s">
        <v>236</v>
      </c>
      <c r="D37" s="127"/>
      <c r="E37" s="100"/>
      <c r="F37" s="128"/>
      <c r="G37" s="128"/>
      <c r="H37" s="149">
        <f t="shared" si="4"/>
        <v>0</v>
      </c>
      <c r="I37" s="149" t="e">
        <f>#REF!*12</f>
        <v>#REF!</v>
      </c>
      <c r="J37" s="149" t="e">
        <f>15*#REF!</f>
        <v>#REF!</v>
      </c>
      <c r="K37" s="150" t="e">
        <f t="shared" si="11"/>
        <v>#REF!</v>
      </c>
      <c r="L37" s="165">
        <f t="shared" si="15"/>
        <v>0</v>
      </c>
      <c r="M37" s="165" t="e">
        <f t="shared" si="16"/>
        <v>#REF!</v>
      </c>
      <c r="N37" s="165" t="e">
        <f t="shared" si="17"/>
        <v>#REF!</v>
      </c>
      <c r="O37" s="197">
        <f t="shared" ref="O37:P37" si="20">L40+L39</f>
        <v>45.119394980145941</v>
      </c>
      <c r="P37" s="197" t="e">
        <f t="shared" si="20"/>
        <v>#REF!</v>
      </c>
      <c r="Q37" s="197" t="e">
        <f>N40+N39</f>
        <v>#REF!</v>
      </c>
    </row>
    <row r="38" spans="1:17" s="103" customFormat="1">
      <c r="A38" s="120"/>
      <c r="B38" s="120" t="s">
        <v>379</v>
      </c>
      <c r="C38" s="121" t="s">
        <v>362</v>
      </c>
      <c r="D38" s="122" t="s">
        <v>235</v>
      </c>
      <c r="E38" s="123">
        <v>1</v>
      </c>
      <c r="F38" s="124">
        <v>46.11</v>
      </c>
      <c r="G38" s="124">
        <f>ROUND(E38*F38,2)</f>
        <v>46.11</v>
      </c>
      <c r="H38" s="149">
        <f>G38*3</f>
        <v>138.32999999999998</v>
      </c>
      <c r="I38" s="149" t="e">
        <f>#REF!*12</f>
        <v>#REF!</v>
      </c>
      <c r="J38" s="149" t="e">
        <f>15*#REF!</f>
        <v>#REF!</v>
      </c>
      <c r="K38" s="150" t="e">
        <f>J38+I38+H38</f>
        <v>#REF!</v>
      </c>
      <c r="L38" s="165">
        <f t="shared" si="15"/>
        <v>1.1344122263608762</v>
      </c>
      <c r="M38" s="165" t="e">
        <f t="shared" si="16"/>
        <v>#REF!</v>
      </c>
      <c r="N38" s="165" t="e">
        <f t="shared" si="17"/>
        <v>#REF!</v>
      </c>
    </row>
    <row r="39" spans="1:17" s="103" customFormat="1">
      <c r="A39" s="120"/>
      <c r="B39" s="120" t="s">
        <v>81</v>
      </c>
      <c r="C39" s="121" t="s">
        <v>408</v>
      </c>
      <c r="D39" s="122" t="s">
        <v>235</v>
      </c>
      <c r="E39" s="123">
        <v>3</v>
      </c>
      <c r="F39" s="124">
        <v>440.13</v>
      </c>
      <c r="G39" s="124">
        <f>ROUND(E39*F39,2)</f>
        <v>1320.39</v>
      </c>
      <c r="H39" s="149">
        <f t="shared" si="4"/>
        <v>3961.17</v>
      </c>
      <c r="I39" s="149" t="e">
        <f>#REF!*12</f>
        <v>#REF!</v>
      </c>
      <c r="J39" s="149" t="e">
        <f>15*#REF!</f>
        <v>#REF!</v>
      </c>
      <c r="K39" s="150" t="e">
        <f t="shared" si="11"/>
        <v>#REF!</v>
      </c>
      <c r="L39" s="165">
        <f t="shared" si="15"/>
        <v>32.484635861302053</v>
      </c>
      <c r="M39" s="165" t="e">
        <f t="shared" si="16"/>
        <v>#REF!</v>
      </c>
      <c r="N39" s="165" t="e">
        <f t="shared" si="17"/>
        <v>#REF!</v>
      </c>
    </row>
    <row r="40" spans="1:17" s="103" customFormat="1">
      <c r="A40" s="120"/>
      <c r="B40" s="120" t="s">
        <v>82</v>
      </c>
      <c r="C40" s="121" t="s">
        <v>409</v>
      </c>
      <c r="D40" s="122" t="s">
        <v>235</v>
      </c>
      <c r="E40" s="123">
        <v>1</v>
      </c>
      <c r="F40" s="124">
        <v>513.55999999999995</v>
      </c>
      <c r="G40" s="124">
        <f>ROUND(E40*F40,2)</f>
        <v>513.55999999999995</v>
      </c>
      <c r="H40" s="149">
        <f t="shared" si="4"/>
        <v>1540.6799999999998</v>
      </c>
      <c r="I40" s="149" t="e">
        <f>#REF!*12</f>
        <v>#REF!</v>
      </c>
      <c r="J40" s="149" t="e">
        <f>15*#REF!</f>
        <v>#REF!</v>
      </c>
      <c r="K40" s="150" t="e">
        <f t="shared" si="11"/>
        <v>#REF!</v>
      </c>
      <c r="L40" s="165">
        <f t="shared" si="15"/>
        <v>12.634759118843887</v>
      </c>
      <c r="M40" s="165" t="e">
        <f t="shared" si="16"/>
        <v>#REF!</v>
      </c>
      <c r="N40" s="165" t="e">
        <f t="shared" si="17"/>
        <v>#REF!</v>
      </c>
    </row>
    <row r="41" spans="1:17" s="103" customFormat="1">
      <c r="A41" s="130"/>
      <c r="B41" s="130"/>
      <c r="C41" s="130" t="s">
        <v>220</v>
      </c>
      <c r="D41" s="129"/>
      <c r="E41" s="131"/>
      <c r="F41" s="132"/>
      <c r="G41" s="133"/>
      <c r="H41" s="152">
        <f>SUM(H34:H40)</f>
        <v>12193.98</v>
      </c>
      <c r="I41" s="152" t="e">
        <f>SUM(I34:I40)</f>
        <v>#REF!</v>
      </c>
      <c r="J41" s="152" t="e">
        <f>SUM(J34:J40)</f>
        <v>#REF!</v>
      </c>
      <c r="K41" s="152" t="e">
        <f>SUM(K34:K40)</f>
        <v>#REF!</v>
      </c>
      <c r="L41" s="163"/>
      <c r="M41" s="165"/>
      <c r="N41" s="165"/>
    </row>
    <row r="42" spans="1:17" s="103" customFormat="1">
      <c r="A42" s="152"/>
      <c r="B42" s="152"/>
      <c r="C42" s="152"/>
      <c r="D42" s="152"/>
      <c r="E42" s="152"/>
      <c r="F42" s="152"/>
      <c r="G42" s="152"/>
      <c r="H42" s="160" t="e">
        <f>H41/$K$41</f>
        <v>#REF!</v>
      </c>
      <c r="I42" s="160" t="e">
        <f>I41/$K$41</f>
        <v>#REF!</v>
      </c>
      <c r="J42" s="160" t="e">
        <f>J41/$K$41</f>
        <v>#REF!</v>
      </c>
      <c r="K42" s="198">
        <v>7.9899999999999999E-2</v>
      </c>
      <c r="L42" s="163"/>
      <c r="M42" s="165"/>
      <c r="N42" s="165"/>
    </row>
    <row r="43" spans="1:17" s="103" customFormat="1">
      <c r="A43" s="152"/>
      <c r="B43" s="152"/>
      <c r="C43" s="152"/>
      <c r="D43" s="152"/>
      <c r="E43" s="152"/>
      <c r="F43" s="152"/>
      <c r="G43" s="152"/>
      <c r="H43" s="165" t="e">
        <f>H42*$K$42*100</f>
        <v>#REF!</v>
      </c>
      <c r="I43" s="165" t="e">
        <f t="shared" ref="I43:J43" si="21">I42*$K$42*100</f>
        <v>#REF!</v>
      </c>
      <c r="J43" s="165" t="e">
        <f t="shared" si="21"/>
        <v>#REF!</v>
      </c>
      <c r="K43" s="153"/>
      <c r="L43" s="163"/>
      <c r="M43" s="165"/>
      <c r="N43" s="165"/>
    </row>
    <row r="44" spans="1:17" s="103" customFormat="1">
      <c r="A44" s="152"/>
      <c r="B44" s="152"/>
      <c r="C44" s="152"/>
      <c r="D44" s="152"/>
      <c r="E44" s="152"/>
      <c r="F44" s="152"/>
      <c r="G44" s="152"/>
      <c r="H44" s="152"/>
      <c r="I44" s="152"/>
      <c r="J44" s="152"/>
      <c r="K44" s="153"/>
      <c r="L44" s="163"/>
      <c r="M44" s="165"/>
      <c r="N44" s="165"/>
    </row>
    <row r="45" spans="1:17" s="103" customFormat="1">
      <c r="A45" s="152"/>
      <c r="B45" s="152"/>
      <c r="C45" s="152"/>
      <c r="D45" s="152"/>
      <c r="E45" s="152"/>
      <c r="F45" s="152"/>
      <c r="G45" s="152"/>
      <c r="H45" s="152"/>
      <c r="I45" s="152"/>
      <c r="J45" s="152"/>
      <c r="K45" s="153"/>
      <c r="L45" s="163"/>
      <c r="M45" s="165"/>
      <c r="N45" s="165"/>
    </row>
    <row r="46" spans="1:17" s="103" customFormat="1">
      <c r="A46" s="112">
        <v>4</v>
      </c>
      <c r="B46" s="112"/>
      <c r="C46" s="113" t="s">
        <v>237</v>
      </c>
      <c r="D46" s="114"/>
      <c r="E46" s="134"/>
      <c r="F46" s="115"/>
      <c r="G46" s="115"/>
      <c r="H46" s="151">
        <v>47</v>
      </c>
      <c r="I46" s="151">
        <v>43</v>
      </c>
      <c r="J46" s="151">
        <v>38</v>
      </c>
      <c r="K46" s="151" t="s">
        <v>435</v>
      </c>
      <c r="L46" s="151">
        <v>47</v>
      </c>
      <c r="M46" s="151">
        <v>43</v>
      </c>
      <c r="N46" s="151">
        <v>38</v>
      </c>
    </row>
    <row r="47" spans="1:17" s="103" customFormat="1">
      <c r="A47" s="125" t="s">
        <v>5</v>
      </c>
      <c r="B47" s="125"/>
      <c r="C47" s="126" t="s">
        <v>238</v>
      </c>
      <c r="D47" s="127"/>
      <c r="E47" s="100"/>
      <c r="F47" s="128"/>
      <c r="G47" s="128"/>
      <c r="H47" s="150"/>
      <c r="L47" s="199" t="s">
        <v>185</v>
      </c>
      <c r="M47" s="199" t="s">
        <v>185</v>
      </c>
      <c r="N47" s="199" t="s">
        <v>185</v>
      </c>
    </row>
    <row r="48" spans="1:17" s="103" customFormat="1" ht="51">
      <c r="A48" s="120"/>
      <c r="B48" s="120" t="s">
        <v>74</v>
      </c>
      <c r="C48" s="167" t="s">
        <v>228</v>
      </c>
      <c r="D48" s="168" t="s">
        <v>212</v>
      </c>
      <c r="E48" s="169">
        <v>9.01</v>
      </c>
      <c r="F48" s="170">
        <v>39.83</v>
      </c>
      <c r="G48" s="170">
        <f>ROUND(E48*F48,2)</f>
        <v>358.87</v>
      </c>
      <c r="H48" s="171">
        <f>G48*3</f>
        <v>1076.6100000000001</v>
      </c>
      <c r="I48" s="171" t="e">
        <f>#REF!*12</f>
        <v>#REF!</v>
      </c>
      <c r="J48" s="171" t="e">
        <f>15*#REF!</f>
        <v>#REF!</v>
      </c>
      <c r="K48" s="172" t="e">
        <f>J48+I48+H48</f>
        <v>#REF!</v>
      </c>
      <c r="L48" s="165">
        <f>H48*100/$H$58</f>
        <v>4.165941135635995</v>
      </c>
      <c r="M48" s="165" t="e">
        <f>I48*100/$I$58</f>
        <v>#REF!</v>
      </c>
      <c r="N48" s="165" t="e">
        <f t="shared" ref="N48:N57" si="22">J48*100/$J$58</f>
        <v>#REF!</v>
      </c>
    </row>
    <row r="49" spans="1:17" s="103" customFormat="1" ht="25.5">
      <c r="A49" s="120"/>
      <c r="B49" s="120" t="s">
        <v>6</v>
      </c>
      <c r="C49" s="121" t="s">
        <v>239</v>
      </c>
      <c r="D49" s="122" t="s">
        <v>212</v>
      </c>
      <c r="E49" s="123">
        <v>70.38</v>
      </c>
      <c r="F49" s="124">
        <v>62.92</v>
      </c>
      <c r="G49" s="124">
        <f>ROUND(E49*F49,2)</f>
        <v>4428.3100000000004</v>
      </c>
      <c r="H49" s="149">
        <f t="shared" si="4"/>
        <v>13284.93</v>
      </c>
      <c r="I49" s="149" t="e">
        <f>#REF!*12</f>
        <v>#REF!</v>
      </c>
      <c r="J49" s="149" t="e">
        <f>15*#REF!</f>
        <v>#REF!</v>
      </c>
      <c r="K49" s="150" t="e">
        <f t="shared" si="11"/>
        <v>#REF!</v>
      </c>
      <c r="L49" s="165">
        <f t="shared" ref="L49:L57" si="23">H49*100/$H$58</f>
        <v>51.406021094959826</v>
      </c>
      <c r="M49" s="165" t="e">
        <f t="shared" ref="M49:M57" si="24">I49*100/$I$58</f>
        <v>#REF!</v>
      </c>
      <c r="N49" s="165" t="e">
        <f t="shared" si="22"/>
        <v>#REF!</v>
      </c>
    </row>
    <row r="50" spans="1:17" s="103" customFormat="1" ht="25.5">
      <c r="A50" s="120"/>
      <c r="B50" s="120" t="s">
        <v>7</v>
      </c>
      <c r="C50" s="121" t="s">
        <v>240</v>
      </c>
      <c r="D50" s="122" t="s">
        <v>212</v>
      </c>
      <c r="E50" s="123">
        <v>70.38</v>
      </c>
      <c r="F50" s="124">
        <v>18.12</v>
      </c>
      <c r="G50" s="124">
        <f>ROUND(E50*F50,2)</f>
        <v>1275.29</v>
      </c>
      <c r="H50" s="149">
        <f t="shared" si="4"/>
        <v>3825.87</v>
      </c>
      <c r="I50" s="149" t="e">
        <f>#REF!*12</f>
        <v>#REF!</v>
      </c>
      <c r="J50" s="149" t="e">
        <f>15*#REF!</f>
        <v>#REF!</v>
      </c>
      <c r="K50" s="150" t="e">
        <f t="shared" si="11"/>
        <v>#REF!</v>
      </c>
      <c r="L50" s="165">
        <f t="shared" si="23"/>
        <v>14.804199489690495</v>
      </c>
      <c r="M50" s="165" t="e">
        <f t="shared" si="24"/>
        <v>#REF!</v>
      </c>
      <c r="N50" s="165" t="e">
        <f t="shared" si="22"/>
        <v>#REF!</v>
      </c>
    </row>
    <row r="51" spans="1:17" s="103" customFormat="1" ht="38.25">
      <c r="A51" s="120"/>
      <c r="B51" s="120" t="s">
        <v>8</v>
      </c>
      <c r="C51" s="121" t="s">
        <v>241</v>
      </c>
      <c r="D51" s="122" t="s">
        <v>218</v>
      </c>
      <c r="E51" s="123">
        <v>9.6999999999999993</v>
      </c>
      <c r="F51" s="124">
        <v>14.2</v>
      </c>
      <c r="G51" s="124">
        <f>ROUND(E51*F51,2)</f>
        <v>137.74</v>
      </c>
      <c r="H51" s="149">
        <f t="shared" si="4"/>
        <v>413.22</v>
      </c>
      <c r="I51" s="149" t="e">
        <f>#REF!*12</f>
        <v>#REF!</v>
      </c>
      <c r="J51" s="149" t="e">
        <f>15*#REF!</f>
        <v>#REF!</v>
      </c>
      <c r="K51" s="150" t="e">
        <f t="shared" si="11"/>
        <v>#REF!</v>
      </c>
      <c r="L51" s="165">
        <f t="shared" si="23"/>
        <v>1.5989543066361132</v>
      </c>
      <c r="M51" s="165" t="e">
        <f t="shared" si="24"/>
        <v>#REF!</v>
      </c>
      <c r="N51" s="165" t="e">
        <f t="shared" si="22"/>
        <v>#REF!</v>
      </c>
    </row>
    <row r="52" spans="1:17" s="103" customFormat="1" ht="25.5">
      <c r="A52" s="120"/>
      <c r="B52" s="120" t="s">
        <v>355</v>
      </c>
      <c r="C52" s="121" t="s">
        <v>361</v>
      </c>
      <c r="D52" s="122" t="s">
        <v>218</v>
      </c>
      <c r="E52" s="123">
        <v>37.58</v>
      </c>
      <c r="F52" s="124">
        <v>19.350000000000001</v>
      </c>
      <c r="G52" s="124">
        <f>ROUND(E52*F52,2)</f>
        <v>727.17</v>
      </c>
      <c r="H52" s="149">
        <f t="shared" si="4"/>
        <v>2181.5099999999998</v>
      </c>
      <c r="I52" s="149" t="e">
        <f>#REF!*12</f>
        <v>#REF!</v>
      </c>
      <c r="J52" s="149" t="e">
        <f>15*#REF!</f>
        <v>#REF!</v>
      </c>
      <c r="K52" s="150" t="e">
        <f t="shared" si="11"/>
        <v>#REF!</v>
      </c>
      <c r="L52" s="165">
        <f t="shared" si="23"/>
        <v>8.4413503931797749</v>
      </c>
      <c r="M52" s="165" t="e">
        <f t="shared" si="24"/>
        <v>#REF!</v>
      </c>
      <c r="N52" s="165" t="e">
        <f t="shared" si="22"/>
        <v>#REF!</v>
      </c>
    </row>
    <row r="53" spans="1:17" s="103" customFormat="1">
      <c r="A53" s="125" t="s">
        <v>9</v>
      </c>
      <c r="B53" s="125"/>
      <c r="C53" s="126" t="s">
        <v>242</v>
      </c>
      <c r="D53" s="127"/>
      <c r="E53" s="100"/>
      <c r="F53" s="128"/>
      <c r="G53" s="128"/>
      <c r="H53" s="149">
        <f t="shared" si="4"/>
        <v>0</v>
      </c>
      <c r="I53" s="149" t="e">
        <f>#REF!*12</f>
        <v>#REF!</v>
      </c>
      <c r="J53" s="149" t="e">
        <f>15*#REF!</f>
        <v>#REF!</v>
      </c>
      <c r="K53" s="150" t="e">
        <f t="shared" si="11"/>
        <v>#REF!</v>
      </c>
      <c r="L53" s="165">
        <f t="shared" si="23"/>
        <v>0</v>
      </c>
      <c r="M53" s="165" t="e">
        <f t="shared" si="24"/>
        <v>#REF!</v>
      </c>
      <c r="N53" s="165" t="e">
        <f t="shared" si="22"/>
        <v>#REF!</v>
      </c>
    </row>
    <row r="54" spans="1:17" s="103" customFormat="1" ht="25.5">
      <c r="A54" s="120"/>
      <c r="B54" s="120" t="s">
        <v>168</v>
      </c>
      <c r="C54" s="121" t="s">
        <v>243</v>
      </c>
      <c r="D54" s="122" t="s">
        <v>212</v>
      </c>
      <c r="E54" s="123">
        <v>29.52</v>
      </c>
      <c r="F54" s="124">
        <v>8.09</v>
      </c>
      <c r="G54" s="124">
        <f>ROUND(E54*F54,2)</f>
        <v>238.82</v>
      </c>
      <c r="H54" s="149">
        <f t="shared" si="4"/>
        <v>716.46</v>
      </c>
      <c r="I54" s="149" t="e">
        <f>#REF!*12</f>
        <v>#REF!</v>
      </c>
      <c r="J54" s="149" t="e">
        <f>15*#REF!</f>
        <v>#REF!</v>
      </c>
      <c r="K54" s="150" t="e">
        <f t="shared" si="11"/>
        <v>#REF!</v>
      </c>
      <c r="L54" s="165">
        <f t="shared" si="23"/>
        <v>2.7723411319212761</v>
      </c>
      <c r="M54" s="165" t="e">
        <f t="shared" si="24"/>
        <v>#REF!</v>
      </c>
      <c r="N54" s="165" t="e">
        <f t="shared" si="22"/>
        <v>#REF!</v>
      </c>
    </row>
    <row r="55" spans="1:17" s="103" customFormat="1" ht="25.5">
      <c r="A55" s="120"/>
      <c r="B55" s="120" t="s">
        <v>169</v>
      </c>
      <c r="C55" s="121" t="s">
        <v>244</v>
      </c>
      <c r="D55" s="122" t="s">
        <v>212</v>
      </c>
      <c r="E55" s="123">
        <v>31.38</v>
      </c>
      <c r="F55" s="124">
        <v>20.38</v>
      </c>
      <c r="G55" s="124">
        <f>ROUND(E55*F55,2)</f>
        <v>639.52</v>
      </c>
      <c r="H55" s="149">
        <f t="shared" si="4"/>
        <v>1918.56</v>
      </c>
      <c r="I55" s="149" t="e">
        <f>#REF!*12</f>
        <v>#REF!</v>
      </c>
      <c r="J55" s="149" t="e">
        <f>15*#REF!</f>
        <v>#REF!</v>
      </c>
      <c r="K55" s="150" t="e">
        <f t="shared" si="11"/>
        <v>#REF!</v>
      </c>
      <c r="L55" s="165">
        <f t="shared" si="23"/>
        <v>7.4238656757654065</v>
      </c>
      <c r="M55" s="165" t="e">
        <f t="shared" si="24"/>
        <v>#REF!</v>
      </c>
      <c r="N55" s="165" t="e">
        <f t="shared" si="22"/>
        <v>#REF!</v>
      </c>
    </row>
    <row r="56" spans="1:17" s="103" customFormat="1" ht="25.5">
      <c r="A56" s="120"/>
      <c r="B56" s="120" t="s">
        <v>170</v>
      </c>
      <c r="C56" s="121" t="s">
        <v>245</v>
      </c>
      <c r="D56" s="122" t="s">
        <v>218</v>
      </c>
      <c r="E56" s="123">
        <v>18.18</v>
      </c>
      <c r="F56" s="124">
        <v>28.26</v>
      </c>
      <c r="G56" s="124">
        <f>ROUND(E56*F56,2)</f>
        <v>513.77</v>
      </c>
      <c r="H56" s="149">
        <f t="shared" si="4"/>
        <v>1541.31</v>
      </c>
      <c r="I56" s="149" t="e">
        <f>#REF!*12</f>
        <v>#REF!</v>
      </c>
      <c r="J56" s="149" t="e">
        <f>15*#REF!</f>
        <v>#REF!</v>
      </c>
      <c r="K56" s="150" t="e">
        <f t="shared" si="11"/>
        <v>#REF!</v>
      </c>
      <c r="L56" s="165">
        <f t="shared" si="23"/>
        <v>5.9640972420534037</v>
      </c>
      <c r="M56" s="165" t="e">
        <f t="shared" si="24"/>
        <v>#REF!</v>
      </c>
      <c r="N56" s="165" t="e">
        <f t="shared" si="22"/>
        <v>#REF!</v>
      </c>
    </row>
    <row r="57" spans="1:17" s="103" customFormat="1">
      <c r="A57" s="120"/>
      <c r="B57" s="120" t="s">
        <v>171</v>
      </c>
      <c r="C57" s="121" t="s">
        <v>246</v>
      </c>
      <c r="D57" s="122" t="s">
        <v>212</v>
      </c>
      <c r="E57" s="123">
        <v>70.38</v>
      </c>
      <c r="F57" s="124">
        <v>4.1900000000000004</v>
      </c>
      <c r="G57" s="124">
        <f>ROUND(E57*F57,2)</f>
        <v>294.89</v>
      </c>
      <c r="H57" s="149">
        <f t="shared" si="4"/>
        <v>884.67</v>
      </c>
      <c r="I57" s="149" t="e">
        <f>#REF!*12</f>
        <v>#REF!</v>
      </c>
      <c r="J57" s="149" t="e">
        <f>15*#REF!</f>
        <v>#REF!</v>
      </c>
      <c r="K57" s="150" t="e">
        <f t="shared" si="11"/>
        <v>#REF!</v>
      </c>
      <c r="L57" s="165">
        <f t="shared" si="23"/>
        <v>3.4232295301577129</v>
      </c>
      <c r="M57" s="165" t="e">
        <f t="shared" si="24"/>
        <v>#REF!</v>
      </c>
      <c r="N57" s="165" t="e">
        <f t="shared" si="22"/>
        <v>#REF!</v>
      </c>
    </row>
    <row r="58" spans="1:17" s="103" customFormat="1">
      <c r="A58" s="33"/>
      <c r="B58" s="129"/>
      <c r="C58" s="130" t="s">
        <v>220</v>
      </c>
      <c r="D58" s="129"/>
      <c r="E58" s="131"/>
      <c r="F58" s="132"/>
      <c r="G58" s="133">
        <f>SUM(G49:G57)</f>
        <v>8255.51</v>
      </c>
      <c r="H58" s="153">
        <f t="shared" ref="H58:J58" si="25">SUM(H48:H57)</f>
        <v>25843.14</v>
      </c>
      <c r="I58" s="153" t="e">
        <f t="shared" si="25"/>
        <v>#REF!</v>
      </c>
      <c r="J58" s="153" t="e">
        <f t="shared" si="25"/>
        <v>#REF!</v>
      </c>
      <c r="K58" s="153" t="e">
        <f>SUM(K48:K57)</f>
        <v>#REF!</v>
      </c>
      <c r="L58" s="163"/>
      <c r="M58" s="165">
        <f t="shared" ref="M58" si="26">L58*100</f>
        <v>0</v>
      </c>
      <c r="N58" s="165"/>
    </row>
    <row r="59" spans="1:17" s="103" customFormat="1">
      <c r="A59" s="33"/>
      <c r="B59" s="129"/>
      <c r="C59" s="130"/>
      <c r="D59" s="129"/>
      <c r="E59" s="131"/>
      <c r="F59" s="132"/>
      <c r="G59" s="133"/>
      <c r="H59" s="160" t="e">
        <f>H58/$K$58</f>
        <v>#REF!</v>
      </c>
      <c r="I59" s="160" t="e">
        <f t="shared" ref="I59:J59" si="27">I58/$K$58</f>
        <v>#REF!</v>
      </c>
      <c r="J59" s="160" t="e">
        <f t="shared" si="27"/>
        <v>#REF!</v>
      </c>
      <c r="K59" s="198">
        <v>0.16819999999999999</v>
      </c>
      <c r="L59" s="163"/>
      <c r="M59" s="165"/>
      <c r="N59" s="165"/>
    </row>
    <row r="60" spans="1:17" s="103" customFormat="1">
      <c r="A60" s="33"/>
      <c r="B60" s="129"/>
      <c r="C60" s="130"/>
      <c r="D60" s="129"/>
      <c r="E60" s="131"/>
      <c r="F60" s="132"/>
      <c r="G60" s="133"/>
      <c r="H60" s="165" t="e">
        <f>H59*$K$59*100</f>
        <v>#REF!</v>
      </c>
      <c r="I60" s="165" t="e">
        <f t="shared" ref="I60:J60" si="28">I59*$K$59*100</f>
        <v>#REF!</v>
      </c>
      <c r="J60" s="165" t="e">
        <f t="shared" si="28"/>
        <v>#REF!</v>
      </c>
      <c r="K60" s="153"/>
      <c r="L60" s="163"/>
      <c r="M60" s="165"/>
      <c r="N60" s="165"/>
    </row>
    <row r="61" spans="1:17" s="103" customFormat="1">
      <c r="A61" s="33"/>
      <c r="B61" s="129"/>
      <c r="C61" s="130"/>
      <c r="D61" s="129"/>
      <c r="E61" s="131"/>
      <c r="F61" s="132"/>
      <c r="G61" s="133"/>
      <c r="H61" s="152"/>
      <c r="I61" s="152"/>
      <c r="J61" s="152"/>
      <c r="K61" s="153"/>
      <c r="L61" s="163"/>
      <c r="M61" s="165"/>
      <c r="N61" s="165"/>
    </row>
    <row r="62" spans="1:17" s="103" customFormat="1">
      <c r="A62" s="112">
        <v>5</v>
      </c>
      <c r="B62" s="112"/>
      <c r="C62" s="113" t="s">
        <v>247</v>
      </c>
      <c r="D62" s="114"/>
      <c r="E62" s="134"/>
      <c r="F62" s="115"/>
      <c r="G62" s="115"/>
      <c r="H62" s="151">
        <v>47</v>
      </c>
      <c r="I62" s="151">
        <v>43</v>
      </c>
      <c r="J62" s="151">
        <v>38</v>
      </c>
      <c r="K62" s="151" t="s">
        <v>435</v>
      </c>
      <c r="L62" s="151">
        <v>47</v>
      </c>
      <c r="M62" s="151">
        <v>43</v>
      </c>
      <c r="N62" s="151">
        <v>38</v>
      </c>
      <c r="O62" s="215">
        <v>47</v>
      </c>
      <c r="P62" s="215">
        <v>43</v>
      </c>
      <c r="Q62" s="215">
        <v>38</v>
      </c>
    </row>
    <row r="63" spans="1:17" s="103" customFormat="1">
      <c r="A63" s="125" t="s">
        <v>10</v>
      </c>
      <c r="B63" s="125"/>
      <c r="C63" s="126" t="s">
        <v>248</v>
      </c>
      <c r="D63" s="127"/>
      <c r="E63" s="100"/>
      <c r="F63" s="128"/>
      <c r="G63" s="128"/>
      <c r="H63" s="150"/>
      <c r="L63" s="199" t="s">
        <v>185</v>
      </c>
      <c r="M63" s="199" t="s">
        <v>185</v>
      </c>
      <c r="N63" s="199" t="s">
        <v>185</v>
      </c>
      <c r="O63" s="216" t="s">
        <v>185</v>
      </c>
      <c r="P63" s="216" t="s">
        <v>185</v>
      </c>
      <c r="Q63" s="216" t="s">
        <v>185</v>
      </c>
    </row>
    <row r="64" spans="1:17" s="103" customFormat="1" ht="38.25">
      <c r="A64" s="120"/>
      <c r="B64" s="120" t="s">
        <v>11</v>
      </c>
      <c r="C64" s="121" t="s">
        <v>249</v>
      </c>
      <c r="D64" s="122" t="s">
        <v>212</v>
      </c>
      <c r="E64" s="123">
        <v>123.84</v>
      </c>
      <c r="F64" s="124">
        <v>3.04</v>
      </c>
      <c r="G64" s="124">
        <f t="shared" ref="G64:G75" si="29">ROUND(E64*F64,2)</f>
        <v>376.47</v>
      </c>
      <c r="H64" s="149">
        <f t="shared" si="4"/>
        <v>1129.4100000000001</v>
      </c>
      <c r="I64" s="149" t="e">
        <f>#REF!*12</f>
        <v>#REF!</v>
      </c>
      <c r="J64" s="149" t="e">
        <f>15*#REF!</f>
        <v>#REF!</v>
      </c>
      <c r="K64" s="189" t="e">
        <f t="shared" si="11"/>
        <v>#REF!</v>
      </c>
      <c r="L64" s="191">
        <f t="shared" ref="L64:L95" si="30">H64*100/$H$115</f>
        <v>3.7193021973787945</v>
      </c>
      <c r="M64" s="191" t="e">
        <f t="shared" ref="M64:M95" si="31">I64*100/$I$115</f>
        <v>#REF!</v>
      </c>
      <c r="N64" s="191" t="e">
        <f t="shared" ref="N64:N95" si="32">J64*100/$J$115</f>
        <v>#REF!</v>
      </c>
      <c r="O64" s="217">
        <f t="shared" ref="O64:Q69" si="33">L64</f>
        <v>3.7193021973787945</v>
      </c>
      <c r="P64" s="217" t="e">
        <f t="shared" si="33"/>
        <v>#REF!</v>
      </c>
      <c r="Q64" s="217" t="e">
        <f t="shared" si="33"/>
        <v>#REF!</v>
      </c>
    </row>
    <row r="65" spans="1:17" s="103" customFormat="1" ht="25.5">
      <c r="A65" s="120"/>
      <c r="B65" s="120" t="s">
        <v>12</v>
      </c>
      <c r="C65" s="121" t="s">
        <v>250</v>
      </c>
      <c r="D65" s="122" t="s">
        <v>212</v>
      </c>
      <c r="E65" s="123">
        <v>41.8</v>
      </c>
      <c r="F65" s="124">
        <v>6.97</v>
      </c>
      <c r="G65" s="124">
        <f t="shared" si="29"/>
        <v>291.35000000000002</v>
      </c>
      <c r="H65" s="149">
        <f t="shared" si="4"/>
        <v>874.05000000000007</v>
      </c>
      <c r="I65" s="149" t="e">
        <f>#REF!*12</f>
        <v>#REF!</v>
      </c>
      <c r="J65" s="149" t="e">
        <f>15*#REF!</f>
        <v>#REF!</v>
      </c>
      <c r="K65" s="189" t="e">
        <f t="shared" si="11"/>
        <v>#REF!</v>
      </c>
      <c r="L65" s="191">
        <f t="shared" si="30"/>
        <v>2.878366656589666</v>
      </c>
      <c r="M65" s="191" t="e">
        <f t="shared" si="31"/>
        <v>#REF!</v>
      </c>
      <c r="N65" s="191" t="e">
        <f t="shared" si="32"/>
        <v>#REF!</v>
      </c>
      <c r="O65" s="217">
        <f t="shared" si="33"/>
        <v>2.878366656589666</v>
      </c>
      <c r="P65" s="217" t="e">
        <f t="shared" si="33"/>
        <v>#REF!</v>
      </c>
      <c r="Q65" s="217" t="e">
        <f t="shared" si="33"/>
        <v>#REF!</v>
      </c>
    </row>
    <row r="66" spans="1:17" s="103" customFormat="1" ht="51">
      <c r="A66" s="120"/>
      <c r="B66" s="120" t="s">
        <v>13</v>
      </c>
      <c r="C66" s="121" t="s">
        <v>251</v>
      </c>
      <c r="D66" s="122" t="s">
        <v>212</v>
      </c>
      <c r="E66" s="123">
        <v>123.84</v>
      </c>
      <c r="F66" s="124">
        <v>22.72</v>
      </c>
      <c r="G66" s="124">
        <f t="shared" si="29"/>
        <v>2813.64</v>
      </c>
      <c r="H66" s="149">
        <f t="shared" si="4"/>
        <v>8440.92</v>
      </c>
      <c r="I66" s="149" t="e">
        <f>#REF!*12</f>
        <v>#REF!</v>
      </c>
      <c r="J66" s="149" t="e">
        <f>15*#REF!</f>
        <v>#REF!</v>
      </c>
      <c r="K66" s="189" t="e">
        <f t="shared" si="11"/>
        <v>#REF!</v>
      </c>
      <c r="L66" s="191">
        <f t="shared" si="30"/>
        <v>27.797108493725581</v>
      </c>
      <c r="M66" s="191" t="e">
        <f t="shared" si="31"/>
        <v>#REF!</v>
      </c>
      <c r="N66" s="191" t="e">
        <f t="shared" si="32"/>
        <v>#REF!</v>
      </c>
      <c r="O66" s="217">
        <f t="shared" si="33"/>
        <v>27.797108493725581</v>
      </c>
      <c r="P66" s="217" t="e">
        <f t="shared" si="33"/>
        <v>#REF!</v>
      </c>
      <c r="Q66" s="217" t="e">
        <f t="shared" si="33"/>
        <v>#REF!</v>
      </c>
    </row>
    <row r="67" spans="1:17" s="103" customFormat="1" ht="51">
      <c r="A67" s="120"/>
      <c r="B67" s="120" t="s">
        <v>14</v>
      </c>
      <c r="C67" s="121" t="s">
        <v>252</v>
      </c>
      <c r="D67" s="122" t="s">
        <v>212</v>
      </c>
      <c r="E67" s="123">
        <v>41.8</v>
      </c>
      <c r="F67" s="124">
        <v>22.63</v>
      </c>
      <c r="G67" s="124">
        <f t="shared" si="29"/>
        <v>945.93</v>
      </c>
      <c r="H67" s="149">
        <f t="shared" si="4"/>
        <v>2837.79</v>
      </c>
      <c r="I67" s="149" t="e">
        <f>#REF!*12</f>
        <v>#REF!</v>
      </c>
      <c r="J67" s="149" t="e">
        <f>15*#REF!</f>
        <v>#REF!</v>
      </c>
      <c r="K67" s="189" t="e">
        <f t="shared" si="11"/>
        <v>#REF!</v>
      </c>
      <c r="L67" s="191">
        <f t="shared" si="30"/>
        <v>9.345232097023727</v>
      </c>
      <c r="M67" s="191" t="e">
        <f t="shared" si="31"/>
        <v>#REF!</v>
      </c>
      <c r="N67" s="191" t="e">
        <f t="shared" si="32"/>
        <v>#REF!</v>
      </c>
      <c r="O67" s="217">
        <f t="shared" si="33"/>
        <v>9.345232097023727</v>
      </c>
      <c r="P67" s="217" t="e">
        <f t="shared" si="33"/>
        <v>#REF!</v>
      </c>
      <c r="Q67" s="217" t="e">
        <f t="shared" si="33"/>
        <v>#REF!</v>
      </c>
    </row>
    <row r="68" spans="1:17" s="103" customFormat="1" ht="38.25">
      <c r="A68" s="120"/>
      <c r="B68" s="120" t="s">
        <v>16</v>
      </c>
      <c r="C68" s="121" t="s">
        <v>253</v>
      </c>
      <c r="D68" s="122" t="s">
        <v>212</v>
      </c>
      <c r="E68" s="123">
        <v>85.87</v>
      </c>
      <c r="F68" s="124">
        <v>3.15</v>
      </c>
      <c r="G68" s="124">
        <f t="shared" si="29"/>
        <v>270.49</v>
      </c>
      <c r="H68" s="149">
        <f t="shared" si="4"/>
        <v>811.47</v>
      </c>
      <c r="I68" s="149" t="e">
        <f>#REF!*12</f>
        <v>#REF!</v>
      </c>
      <c r="J68" s="149" t="e">
        <f>15*#REF!</f>
        <v>#REF!</v>
      </c>
      <c r="K68" s="189" t="e">
        <f t="shared" si="11"/>
        <v>#REF!</v>
      </c>
      <c r="L68" s="191">
        <f t="shared" si="30"/>
        <v>2.672282124389699</v>
      </c>
      <c r="M68" s="191" t="e">
        <f t="shared" si="31"/>
        <v>#REF!</v>
      </c>
      <c r="N68" s="191" t="e">
        <f t="shared" si="32"/>
        <v>#REF!</v>
      </c>
      <c r="O68" s="217">
        <f t="shared" si="33"/>
        <v>2.672282124389699</v>
      </c>
      <c r="P68" s="217" t="e">
        <f t="shared" si="33"/>
        <v>#REF!</v>
      </c>
      <c r="Q68" s="217" t="e">
        <f t="shared" si="33"/>
        <v>#REF!</v>
      </c>
    </row>
    <row r="69" spans="1:17" s="103" customFormat="1" ht="51">
      <c r="A69" s="173"/>
      <c r="B69" s="173" t="s">
        <v>17</v>
      </c>
      <c r="C69" s="174" t="s">
        <v>251</v>
      </c>
      <c r="D69" s="175" t="s">
        <v>212</v>
      </c>
      <c r="E69" s="176">
        <v>85.87</v>
      </c>
      <c r="F69" s="177">
        <v>22.72</v>
      </c>
      <c r="G69" s="177">
        <f t="shared" si="29"/>
        <v>1950.97</v>
      </c>
      <c r="H69" s="149">
        <f t="shared" si="4"/>
        <v>5852.91</v>
      </c>
      <c r="I69" s="149" t="e">
        <f>#REF!*12</f>
        <v>#REF!</v>
      </c>
      <c r="J69" s="149" t="e">
        <f>15*#REF!</f>
        <v>#REF!</v>
      </c>
      <c r="K69" s="189" t="e">
        <f t="shared" si="11"/>
        <v>#REF!</v>
      </c>
      <c r="L69" s="191">
        <f t="shared" si="30"/>
        <v>19.274436231360017</v>
      </c>
      <c r="M69" s="191" t="e">
        <f t="shared" si="31"/>
        <v>#REF!</v>
      </c>
      <c r="N69" s="191" t="e">
        <f t="shared" si="32"/>
        <v>#REF!</v>
      </c>
      <c r="O69" s="217">
        <f t="shared" si="33"/>
        <v>19.274436231360017</v>
      </c>
      <c r="P69" s="217" t="e">
        <f t="shared" si="33"/>
        <v>#REF!</v>
      </c>
      <c r="Q69" s="217" t="e">
        <f t="shared" si="33"/>
        <v>#REF!</v>
      </c>
    </row>
    <row r="70" spans="1:17" s="103" customFormat="1">
      <c r="A70" s="120"/>
      <c r="B70" s="120" t="s">
        <v>97</v>
      </c>
      <c r="C70" s="121" t="s">
        <v>400</v>
      </c>
      <c r="D70" s="122" t="s">
        <v>235</v>
      </c>
      <c r="E70" s="123">
        <v>22</v>
      </c>
      <c r="F70" s="124">
        <v>10.3</v>
      </c>
      <c r="G70" s="124">
        <f t="shared" si="29"/>
        <v>226.6</v>
      </c>
      <c r="H70" s="149">
        <f t="shared" ref="H70:H99" si="34">G70*3</f>
        <v>679.8</v>
      </c>
      <c r="I70" s="149" t="e">
        <f>#REF!*12</f>
        <v>#REF!</v>
      </c>
      <c r="J70" s="149" t="e">
        <f>15*#REF!</f>
        <v>#REF!</v>
      </c>
      <c r="K70" s="189" t="e">
        <f t="shared" ref="K70:K81" si="35">J70+I70+H70</f>
        <v>#REF!</v>
      </c>
      <c r="L70" s="191">
        <f t="shared" si="30"/>
        <v>2.2386747361703048</v>
      </c>
      <c r="M70" s="191" t="e">
        <f t="shared" si="31"/>
        <v>#REF!</v>
      </c>
      <c r="N70" s="191" t="e">
        <f t="shared" si="32"/>
        <v>#REF!</v>
      </c>
      <c r="O70" s="217">
        <f>SUM(L70:L75)</f>
        <v>7.8544288415599191</v>
      </c>
      <c r="P70" s="217" t="e">
        <f>SUM(M70:M75)</f>
        <v>#REF!</v>
      </c>
      <c r="Q70" s="217" t="e">
        <f>SUM(N70:N75)</f>
        <v>#REF!</v>
      </c>
    </row>
    <row r="71" spans="1:17" s="103" customFormat="1">
      <c r="A71" s="120"/>
      <c r="B71" s="120" t="s">
        <v>98</v>
      </c>
      <c r="C71" s="121" t="s">
        <v>281</v>
      </c>
      <c r="D71" s="122" t="s">
        <v>235</v>
      </c>
      <c r="E71" s="123">
        <v>6</v>
      </c>
      <c r="F71" s="124">
        <v>6.75</v>
      </c>
      <c r="G71" s="124">
        <f t="shared" si="29"/>
        <v>40.5</v>
      </c>
      <c r="H71" s="149">
        <f t="shared" si="34"/>
        <v>121.5</v>
      </c>
      <c r="I71" s="149" t="e">
        <f>#REF!*12</f>
        <v>#REF!</v>
      </c>
      <c r="J71" s="149" t="e">
        <f>15*#REF!</f>
        <v>#REF!</v>
      </c>
      <c r="K71" s="189" t="e">
        <f t="shared" si="35"/>
        <v>#REF!</v>
      </c>
      <c r="L71" s="191">
        <f t="shared" si="30"/>
        <v>0.40011618188392478</v>
      </c>
      <c r="M71" s="191" t="e">
        <f t="shared" si="31"/>
        <v>#REF!</v>
      </c>
      <c r="N71" s="191" t="e">
        <f t="shared" si="32"/>
        <v>#REF!</v>
      </c>
      <c r="O71" s="217">
        <f>SUM(L76:L93)</f>
        <v>11.983430250364055</v>
      </c>
      <c r="P71" s="217" t="e">
        <f>SUM(M76:M93)</f>
        <v>#REF!</v>
      </c>
      <c r="Q71" s="217" t="e">
        <f>SUM(N76:N93)</f>
        <v>#REF!</v>
      </c>
    </row>
    <row r="72" spans="1:17" s="103" customFormat="1" ht="25.5">
      <c r="A72" s="120"/>
      <c r="B72" s="120" t="s">
        <v>99</v>
      </c>
      <c r="C72" s="121" t="s">
        <v>282</v>
      </c>
      <c r="D72" s="122" t="s">
        <v>235</v>
      </c>
      <c r="E72" s="123">
        <v>2</v>
      </c>
      <c r="F72" s="124">
        <v>11.2</v>
      </c>
      <c r="G72" s="124">
        <f t="shared" si="29"/>
        <v>22.4</v>
      </c>
      <c r="H72" s="149">
        <f t="shared" si="34"/>
        <v>67.199999999999989</v>
      </c>
      <c r="I72" s="149" t="e">
        <f>#REF!*12</f>
        <v>#REF!</v>
      </c>
      <c r="J72" s="149" t="e">
        <f>15*#REF!</f>
        <v>#REF!</v>
      </c>
      <c r="K72" s="189" t="e">
        <f t="shared" si="35"/>
        <v>#REF!</v>
      </c>
      <c r="L72" s="191">
        <f t="shared" si="30"/>
        <v>0.22129882652345464</v>
      </c>
      <c r="M72" s="191" t="e">
        <f t="shared" si="31"/>
        <v>#REF!</v>
      </c>
      <c r="N72" s="191" t="e">
        <f t="shared" si="32"/>
        <v>#REF!</v>
      </c>
      <c r="O72" s="218">
        <f>SUM(L95:L114)</f>
        <v>14.475413107608528</v>
      </c>
      <c r="P72" s="218" t="e">
        <f>SUM(M95:M114)</f>
        <v>#REF!</v>
      </c>
      <c r="Q72" s="218" t="e">
        <f>SUM(N95:N114)</f>
        <v>#REF!</v>
      </c>
    </row>
    <row r="73" spans="1:17" s="103" customFormat="1" ht="25.5">
      <c r="A73" s="120"/>
      <c r="B73" s="120" t="s">
        <v>100</v>
      </c>
      <c r="C73" s="121" t="s">
        <v>283</v>
      </c>
      <c r="D73" s="122" t="s">
        <v>218</v>
      </c>
      <c r="E73" s="123">
        <v>15</v>
      </c>
      <c r="F73" s="124">
        <v>7.75</v>
      </c>
      <c r="G73" s="124">
        <f t="shared" si="29"/>
        <v>116.25</v>
      </c>
      <c r="H73" s="149">
        <f t="shared" si="34"/>
        <v>348.75</v>
      </c>
      <c r="I73" s="149" t="e">
        <f>#REF!*12</f>
        <v>#REF!</v>
      </c>
      <c r="J73" s="149" t="e">
        <f>15*#REF!</f>
        <v>#REF!</v>
      </c>
      <c r="K73" s="189" t="e">
        <f t="shared" si="35"/>
        <v>#REF!</v>
      </c>
      <c r="L73" s="191">
        <f t="shared" si="30"/>
        <v>1.1484816331853396</v>
      </c>
      <c r="M73" s="191" t="e">
        <f t="shared" si="31"/>
        <v>#REF!</v>
      </c>
      <c r="N73" s="191" t="e">
        <f t="shared" si="32"/>
        <v>#REF!</v>
      </c>
      <c r="O73" s="191"/>
      <c r="P73" s="191"/>
      <c r="Q73" s="191"/>
    </row>
    <row r="74" spans="1:17" s="103" customFormat="1" ht="25.5">
      <c r="A74" s="120"/>
      <c r="B74" s="120" t="s">
        <v>101</v>
      </c>
      <c r="C74" s="121" t="s">
        <v>284</v>
      </c>
      <c r="D74" s="122" t="s">
        <v>235</v>
      </c>
      <c r="E74" s="123">
        <v>6</v>
      </c>
      <c r="F74" s="124">
        <v>6.8</v>
      </c>
      <c r="G74" s="124">
        <f t="shared" si="29"/>
        <v>40.799999999999997</v>
      </c>
      <c r="H74" s="149">
        <f t="shared" si="34"/>
        <v>122.39999999999999</v>
      </c>
      <c r="I74" s="149" t="e">
        <f>#REF!*12</f>
        <v>#REF!</v>
      </c>
      <c r="J74" s="149" t="e">
        <f>15*#REF!</f>
        <v>#REF!</v>
      </c>
      <c r="K74" s="189" t="e">
        <f t="shared" si="35"/>
        <v>#REF!</v>
      </c>
      <c r="L74" s="191">
        <f t="shared" si="30"/>
        <v>0.40308000545343531</v>
      </c>
      <c r="M74" s="191" t="e">
        <f t="shared" si="31"/>
        <v>#REF!</v>
      </c>
      <c r="N74" s="191" t="e">
        <f t="shared" si="32"/>
        <v>#REF!</v>
      </c>
      <c r="O74" s="191"/>
      <c r="P74" s="191"/>
      <c r="Q74" s="191"/>
    </row>
    <row r="75" spans="1:17" s="103" customFormat="1" ht="25.5">
      <c r="A75" s="120"/>
      <c r="B75" s="120" t="s">
        <v>102</v>
      </c>
      <c r="C75" s="121" t="s">
        <v>285</v>
      </c>
      <c r="D75" s="122" t="s">
        <v>218</v>
      </c>
      <c r="E75" s="123">
        <v>96</v>
      </c>
      <c r="F75" s="124">
        <v>3.63</v>
      </c>
      <c r="G75" s="124">
        <f t="shared" si="29"/>
        <v>348.48</v>
      </c>
      <c r="H75" s="149">
        <f t="shared" si="34"/>
        <v>1045.44</v>
      </c>
      <c r="I75" s="149" t="e">
        <f>#REF!*12</f>
        <v>#REF!</v>
      </c>
      <c r="J75" s="149" t="e">
        <f>15*#REF!</f>
        <v>#REF!</v>
      </c>
      <c r="K75" s="189" t="e">
        <f t="shared" si="35"/>
        <v>#REF!</v>
      </c>
      <c r="L75" s="191">
        <f t="shared" si="30"/>
        <v>3.4427774583434592</v>
      </c>
      <c r="M75" s="191" t="e">
        <f t="shared" si="31"/>
        <v>#REF!</v>
      </c>
      <c r="N75" s="191" t="e">
        <f t="shared" si="32"/>
        <v>#REF!</v>
      </c>
      <c r="O75" s="191"/>
      <c r="P75" s="191"/>
      <c r="Q75" s="191"/>
    </row>
    <row r="76" spans="1:17" s="103" customFormat="1" ht="25.5">
      <c r="A76" s="120"/>
      <c r="B76" s="120" t="s">
        <v>135</v>
      </c>
      <c r="C76" s="121" t="s">
        <v>414</v>
      </c>
      <c r="D76" s="122" t="s">
        <v>235</v>
      </c>
      <c r="E76" s="123">
        <v>8</v>
      </c>
      <c r="F76" s="124">
        <v>4.57</v>
      </c>
      <c r="G76" s="124">
        <f t="shared" ref="G76:G83" si="36">ROUND(E76*F76,2)</f>
        <v>36.56</v>
      </c>
      <c r="H76" s="149">
        <f t="shared" si="34"/>
        <v>109.68</v>
      </c>
      <c r="I76" s="149" t="e">
        <f>#REF!*12</f>
        <v>#REF!</v>
      </c>
      <c r="J76" s="149" t="e">
        <f>15*#REF!</f>
        <v>#REF!</v>
      </c>
      <c r="K76" s="189" t="e">
        <f t="shared" si="35"/>
        <v>#REF!</v>
      </c>
      <c r="L76" s="191">
        <f t="shared" si="30"/>
        <v>0.36119129900435282</v>
      </c>
      <c r="M76" s="191" t="e">
        <f t="shared" si="31"/>
        <v>#REF!</v>
      </c>
      <c r="N76" s="191" t="e">
        <f t="shared" si="32"/>
        <v>#REF!</v>
      </c>
    </row>
    <row r="77" spans="1:17" s="103" customFormat="1" ht="25.5">
      <c r="A77" s="120"/>
      <c r="B77" s="120"/>
      <c r="C77" s="146" t="s">
        <v>413</v>
      </c>
      <c r="D77" s="122" t="s">
        <v>235</v>
      </c>
      <c r="E77" s="123">
        <v>1</v>
      </c>
      <c r="F77" s="124">
        <v>27.36</v>
      </c>
      <c r="G77" s="124">
        <f t="shared" si="36"/>
        <v>27.36</v>
      </c>
      <c r="H77" s="149">
        <f t="shared" si="34"/>
        <v>82.08</v>
      </c>
      <c r="I77" s="149" t="e">
        <f>#REF!*12</f>
        <v>#REF!</v>
      </c>
      <c r="J77" s="149" t="e">
        <f>15*#REF!</f>
        <v>#REF!</v>
      </c>
      <c r="K77" s="189" t="e">
        <f t="shared" si="35"/>
        <v>#REF!</v>
      </c>
      <c r="L77" s="191">
        <f t="shared" si="30"/>
        <v>0.27030070953936253</v>
      </c>
      <c r="M77" s="191" t="e">
        <f t="shared" si="31"/>
        <v>#REF!</v>
      </c>
      <c r="N77" s="191" t="e">
        <f t="shared" si="32"/>
        <v>#REF!</v>
      </c>
      <c r="O77" s="191"/>
      <c r="P77" s="191"/>
      <c r="Q77" s="191"/>
    </row>
    <row r="78" spans="1:17" s="103" customFormat="1" ht="25.5">
      <c r="A78" s="120"/>
      <c r="B78" s="120"/>
      <c r="C78" s="146" t="s">
        <v>416</v>
      </c>
      <c r="D78" s="122" t="s">
        <v>235</v>
      </c>
      <c r="E78" s="123">
        <v>1</v>
      </c>
      <c r="F78" s="124">
        <v>27.36</v>
      </c>
      <c r="G78" s="124">
        <f t="shared" si="36"/>
        <v>27.36</v>
      </c>
      <c r="H78" s="149">
        <f t="shared" si="34"/>
        <v>82.08</v>
      </c>
      <c r="I78" s="149" t="e">
        <f>#REF!*12</f>
        <v>#REF!</v>
      </c>
      <c r="J78" s="149" t="e">
        <f>15*#REF!</f>
        <v>#REF!</v>
      </c>
      <c r="K78" s="189" t="e">
        <f t="shared" si="35"/>
        <v>#REF!</v>
      </c>
      <c r="L78" s="191">
        <f t="shared" si="30"/>
        <v>0.27030070953936253</v>
      </c>
      <c r="M78" s="191" t="e">
        <f t="shared" si="31"/>
        <v>#REF!</v>
      </c>
      <c r="N78" s="191" t="e">
        <f t="shared" si="32"/>
        <v>#REF!</v>
      </c>
      <c r="O78" s="191"/>
      <c r="P78" s="191"/>
      <c r="Q78" s="191"/>
    </row>
    <row r="79" spans="1:17" s="103" customFormat="1">
      <c r="A79" s="120"/>
      <c r="B79" s="120"/>
      <c r="C79" s="146" t="s">
        <v>415</v>
      </c>
      <c r="D79" s="122" t="s">
        <v>235</v>
      </c>
      <c r="E79" s="123">
        <v>1</v>
      </c>
      <c r="F79" s="124">
        <v>27.36</v>
      </c>
      <c r="G79" s="124">
        <f t="shared" si="36"/>
        <v>27.36</v>
      </c>
      <c r="H79" s="149">
        <f t="shared" si="34"/>
        <v>82.08</v>
      </c>
      <c r="I79" s="149" t="e">
        <f>#REF!*12</f>
        <v>#REF!</v>
      </c>
      <c r="J79" s="149" t="e">
        <f>15*#REF!</f>
        <v>#REF!</v>
      </c>
      <c r="K79" s="189" t="e">
        <f t="shared" si="35"/>
        <v>#REF!</v>
      </c>
      <c r="L79" s="191">
        <f t="shared" si="30"/>
        <v>0.27030070953936253</v>
      </c>
      <c r="M79" s="191" t="e">
        <f t="shared" si="31"/>
        <v>#REF!</v>
      </c>
      <c r="N79" s="191" t="e">
        <f t="shared" si="32"/>
        <v>#REF!</v>
      </c>
      <c r="O79" s="191"/>
      <c r="P79" s="191"/>
      <c r="Q79" s="191"/>
    </row>
    <row r="80" spans="1:17" s="103" customFormat="1" ht="25.5">
      <c r="A80" s="120"/>
      <c r="B80" s="120" t="s">
        <v>136</v>
      </c>
      <c r="C80" s="121" t="s">
        <v>420</v>
      </c>
      <c r="D80" s="122" t="s">
        <v>235</v>
      </c>
      <c r="E80" s="123">
        <v>3</v>
      </c>
      <c r="F80" s="124">
        <v>9.16</v>
      </c>
      <c r="G80" s="124">
        <f t="shared" si="36"/>
        <v>27.48</v>
      </c>
      <c r="H80" s="149">
        <f t="shared" si="34"/>
        <v>82.44</v>
      </c>
      <c r="I80" s="149" t="e">
        <f>#REF!*12</f>
        <v>#REF!</v>
      </c>
      <c r="J80" s="149" t="e">
        <f>15*#REF!</f>
        <v>#REF!</v>
      </c>
      <c r="K80" s="189" t="e">
        <f t="shared" si="35"/>
        <v>#REF!</v>
      </c>
      <c r="L80" s="191">
        <f t="shared" si="30"/>
        <v>0.27148623896716673</v>
      </c>
      <c r="M80" s="191" t="e">
        <f t="shared" si="31"/>
        <v>#REF!</v>
      </c>
      <c r="N80" s="191" t="e">
        <f t="shared" si="32"/>
        <v>#REF!</v>
      </c>
      <c r="O80" s="191"/>
      <c r="P80" s="191"/>
      <c r="Q80" s="191"/>
    </row>
    <row r="81" spans="1:17" s="103" customFormat="1" ht="25.5">
      <c r="A81" s="120"/>
      <c r="B81" s="120" t="s">
        <v>137</v>
      </c>
      <c r="C81" s="121" t="s">
        <v>319</v>
      </c>
      <c r="D81" s="122" t="s">
        <v>235</v>
      </c>
      <c r="E81" s="123">
        <v>3</v>
      </c>
      <c r="F81" s="124">
        <v>9.81</v>
      </c>
      <c r="G81" s="124">
        <f t="shared" si="36"/>
        <v>29.43</v>
      </c>
      <c r="H81" s="149">
        <f t="shared" si="34"/>
        <v>88.289999999999992</v>
      </c>
      <c r="I81" s="149" t="e">
        <f>#REF!*12</f>
        <v>#REF!</v>
      </c>
      <c r="J81" s="149" t="e">
        <f>15*#REF!</f>
        <v>#REF!</v>
      </c>
      <c r="K81" s="189" t="e">
        <f t="shared" si="35"/>
        <v>#REF!</v>
      </c>
      <c r="L81" s="191">
        <f t="shared" si="30"/>
        <v>0.29075109216898531</v>
      </c>
      <c r="M81" s="191" t="e">
        <f t="shared" si="31"/>
        <v>#REF!</v>
      </c>
      <c r="N81" s="191" t="e">
        <f t="shared" si="32"/>
        <v>#REF!</v>
      </c>
      <c r="O81" s="191"/>
      <c r="P81" s="191"/>
      <c r="Q81" s="191"/>
    </row>
    <row r="82" spans="1:17" s="103" customFormat="1" ht="25.5">
      <c r="A82" s="120"/>
      <c r="B82" s="120" t="s">
        <v>138</v>
      </c>
      <c r="C82" s="121" t="s">
        <v>320</v>
      </c>
      <c r="D82" s="122" t="s">
        <v>235</v>
      </c>
      <c r="E82" s="123">
        <v>12</v>
      </c>
      <c r="F82" s="124">
        <v>6.16</v>
      </c>
      <c r="G82" s="124">
        <f t="shared" si="36"/>
        <v>73.92</v>
      </c>
      <c r="H82" s="149">
        <f t="shared" si="34"/>
        <v>221.76</v>
      </c>
      <c r="I82" s="149" t="e">
        <f>#REF!*12</f>
        <v>#REF!</v>
      </c>
      <c r="J82" s="149" t="e">
        <f>15*#REF!</f>
        <v>#REF!</v>
      </c>
      <c r="K82" s="189" t="e">
        <f t="shared" ref="K82:K83" si="37">J82+I82+H82</f>
        <v>#REF!</v>
      </c>
      <c r="L82" s="191">
        <f t="shared" si="30"/>
        <v>0.73028612752740041</v>
      </c>
      <c r="M82" s="191" t="e">
        <f t="shared" si="31"/>
        <v>#REF!</v>
      </c>
      <c r="N82" s="191" t="e">
        <f t="shared" si="32"/>
        <v>#REF!</v>
      </c>
      <c r="O82" s="191"/>
      <c r="P82" s="191"/>
      <c r="Q82" s="191"/>
    </row>
    <row r="83" spans="1:17" s="103" customFormat="1" ht="25.5">
      <c r="A83" s="120"/>
      <c r="B83" s="120" t="s">
        <v>139</v>
      </c>
      <c r="C83" s="121" t="s">
        <v>321</v>
      </c>
      <c r="D83" s="122" t="s">
        <v>235</v>
      </c>
      <c r="E83" s="123">
        <v>3</v>
      </c>
      <c r="F83" s="124">
        <v>8.06</v>
      </c>
      <c r="G83" s="124">
        <f t="shared" si="36"/>
        <v>24.18</v>
      </c>
      <c r="H83" s="149">
        <f t="shared" si="34"/>
        <v>72.539999999999992</v>
      </c>
      <c r="I83" s="149" t="e">
        <f>#REF!*12</f>
        <v>#REF!</v>
      </c>
      <c r="J83" s="149" t="e">
        <f>15*#REF!</f>
        <v>#REF!</v>
      </c>
      <c r="K83" s="189" t="e">
        <f t="shared" si="37"/>
        <v>#REF!</v>
      </c>
      <c r="L83" s="191">
        <f t="shared" si="30"/>
        <v>0.2388841797025506</v>
      </c>
      <c r="M83" s="191" t="e">
        <f t="shared" si="31"/>
        <v>#REF!</v>
      </c>
      <c r="N83" s="191" t="e">
        <f t="shared" si="32"/>
        <v>#REF!</v>
      </c>
      <c r="O83" s="191"/>
      <c r="P83" s="191"/>
      <c r="Q83" s="191"/>
    </row>
    <row r="84" spans="1:17" s="103" customFormat="1">
      <c r="H84" s="149">
        <f t="shared" si="34"/>
        <v>0</v>
      </c>
      <c r="I84" s="149" t="e">
        <f>#REF!*12</f>
        <v>#REF!</v>
      </c>
      <c r="J84" s="149" t="e">
        <f>15*#REF!</f>
        <v>#REF!</v>
      </c>
      <c r="K84" s="189" t="e">
        <f t="shared" ref="K84:K86" si="38">J84+I84+H84</f>
        <v>#REF!</v>
      </c>
      <c r="L84" s="191">
        <f t="shared" si="30"/>
        <v>0</v>
      </c>
      <c r="M84" s="191" t="e">
        <f t="shared" si="31"/>
        <v>#REF!</v>
      </c>
      <c r="N84" s="191" t="e">
        <f t="shared" si="32"/>
        <v>#REF!</v>
      </c>
      <c r="O84" s="191"/>
      <c r="P84" s="191"/>
      <c r="Q84" s="191"/>
    </row>
    <row r="85" spans="1:17" s="103" customFormat="1">
      <c r="A85" s="120"/>
      <c r="B85" s="120" t="s">
        <v>140</v>
      </c>
      <c r="C85" s="121" t="s">
        <v>417</v>
      </c>
      <c r="D85" s="122" t="s">
        <v>235</v>
      </c>
      <c r="E85" s="123">
        <v>1</v>
      </c>
      <c r="F85" s="124">
        <v>4.9400000000000004</v>
      </c>
      <c r="G85" s="124">
        <f>ROUND(E85*F85,2)</f>
        <v>4.9400000000000004</v>
      </c>
      <c r="H85" s="149">
        <f t="shared" si="34"/>
        <v>14.82</v>
      </c>
      <c r="I85" s="149" t="e">
        <f>#REF!*12</f>
        <v>#REF!</v>
      </c>
      <c r="J85" s="149" t="e">
        <f>15*#REF!</f>
        <v>#REF!</v>
      </c>
      <c r="K85" s="189" t="e">
        <f t="shared" si="38"/>
        <v>#REF!</v>
      </c>
      <c r="L85" s="191">
        <f t="shared" si="30"/>
        <v>4.8804294777940453E-2</v>
      </c>
      <c r="M85" s="191" t="e">
        <f t="shared" si="31"/>
        <v>#REF!</v>
      </c>
      <c r="N85" s="191" t="e">
        <f t="shared" si="32"/>
        <v>#REF!</v>
      </c>
      <c r="O85" s="191"/>
      <c r="P85" s="191"/>
      <c r="Q85" s="191"/>
    </row>
    <row r="86" spans="1:17" s="103" customFormat="1">
      <c r="A86" s="120"/>
      <c r="B86" s="120" t="s">
        <v>141</v>
      </c>
      <c r="C86" s="121" t="s">
        <v>369</v>
      </c>
      <c r="D86" s="122" t="s">
        <v>235</v>
      </c>
      <c r="E86" s="123">
        <v>1</v>
      </c>
      <c r="F86" s="124">
        <v>0.54</v>
      </c>
      <c r="G86" s="124">
        <f>ROUND(E86*F86,2)</f>
        <v>0.54</v>
      </c>
      <c r="H86" s="149">
        <f t="shared" si="34"/>
        <v>1.62</v>
      </c>
      <c r="I86" s="149" t="e">
        <f>#REF!*12</f>
        <v>#REF!</v>
      </c>
      <c r="J86" s="149" t="e">
        <f>15*#REF!</f>
        <v>#REF!</v>
      </c>
      <c r="K86" s="189" t="e">
        <f t="shared" si="38"/>
        <v>#REF!</v>
      </c>
      <c r="L86" s="191">
        <f t="shared" si="30"/>
        <v>5.3348824251189964E-3</v>
      </c>
      <c r="M86" s="191" t="e">
        <f t="shared" si="31"/>
        <v>#REF!</v>
      </c>
      <c r="N86" s="191" t="e">
        <f t="shared" si="32"/>
        <v>#REF!</v>
      </c>
      <c r="O86" s="191"/>
      <c r="P86" s="191"/>
      <c r="Q86" s="191"/>
    </row>
    <row r="87" spans="1:17" s="103" customFormat="1" ht="25.5">
      <c r="A87" s="120"/>
      <c r="B87" s="120" t="s">
        <v>142</v>
      </c>
      <c r="C87" s="121" t="s">
        <v>418</v>
      </c>
      <c r="D87" s="122" t="s">
        <v>235</v>
      </c>
      <c r="E87" s="123">
        <v>3</v>
      </c>
      <c r="F87" s="124">
        <v>47.86</v>
      </c>
      <c r="G87" s="124">
        <f>ROUND(E87*F87,2)</f>
        <v>143.58000000000001</v>
      </c>
      <c r="H87" s="149">
        <f t="shared" si="34"/>
        <v>430.74</v>
      </c>
      <c r="I87" s="149" t="e">
        <f>#REF!*12</f>
        <v>#REF!</v>
      </c>
      <c r="J87" s="149" t="e">
        <f>15*#REF!</f>
        <v>#REF!</v>
      </c>
      <c r="K87" s="189" t="e">
        <f t="shared" ref="K87:K88" si="39">J87+I87+H87</f>
        <v>#REF!</v>
      </c>
      <c r="L87" s="191">
        <f t="shared" si="30"/>
        <v>1.4184859603677511</v>
      </c>
      <c r="M87" s="191" t="e">
        <f t="shared" si="31"/>
        <v>#REF!</v>
      </c>
      <c r="N87" s="191" t="e">
        <f t="shared" si="32"/>
        <v>#REF!</v>
      </c>
      <c r="O87" s="191"/>
      <c r="P87" s="191"/>
      <c r="Q87" s="191"/>
    </row>
    <row r="88" spans="1:17" s="103" customFormat="1" ht="25.5">
      <c r="A88" s="120"/>
      <c r="B88" s="120" t="s">
        <v>143</v>
      </c>
      <c r="C88" s="121" t="s">
        <v>419</v>
      </c>
      <c r="D88" s="122" t="s">
        <v>235</v>
      </c>
      <c r="E88" s="123">
        <v>1</v>
      </c>
      <c r="F88" s="124">
        <v>45.66</v>
      </c>
      <c r="G88" s="124">
        <f>ROUND(E88*F88,2)</f>
        <v>45.66</v>
      </c>
      <c r="H88" s="149">
        <f t="shared" si="34"/>
        <v>136.97999999999999</v>
      </c>
      <c r="I88" s="149" t="e">
        <f>#REF!*12</f>
        <v>#REF!</v>
      </c>
      <c r="J88" s="149" t="e">
        <f>15*#REF!</f>
        <v>#REF!</v>
      </c>
      <c r="K88" s="189" t="e">
        <f t="shared" si="39"/>
        <v>#REF!</v>
      </c>
      <c r="L88" s="191">
        <f t="shared" si="30"/>
        <v>0.45109394727950625</v>
      </c>
      <c r="M88" s="191" t="e">
        <f t="shared" si="31"/>
        <v>#REF!</v>
      </c>
      <c r="N88" s="191" t="e">
        <f t="shared" si="32"/>
        <v>#REF!</v>
      </c>
      <c r="O88" s="191"/>
      <c r="P88" s="191"/>
      <c r="Q88" s="191"/>
    </row>
    <row r="89" spans="1:17" s="103" customFormat="1">
      <c r="H89" s="149">
        <f t="shared" si="34"/>
        <v>0</v>
      </c>
      <c r="I89" s="149" t="e">
        <f>#REF!*12</f>
        <v>#REF!</v>
      </c>
      <c r="J89" s="149" t="e">
        <f>15*#REF!</f>
        <v>#REF!</v>
      </c>
      <c r="K89" s="189" t="e">
        <f t="shared" ref="K89:K93" si="40">J89+I89+H89</f>
        <v>#REF!</v>
      </c>
      <c r="L89" s="191">
        <f t="shared" si="30"/>
        <v>0</v>
      </c>
      <c r="M89" s="191" t="e">
        <f t="shared" si="31"/>
        <v>#REF!</v>
      </c>
      <c r="N89" s="191" t="e">
        <f t="shared" si="32"/>
        <v>#REF!</v>
      </c>
      <c r="O89" s="191"/>
      <c r="P89" s="191"/>
      <c r="Q89" s="191"/>
    </row>
    <row r="90" spans="1:17" s="103" customFormat="1" ht="25.5">
      <c r="A90" s="120"/>
      <c r="B90" s="120" t="s">
        <v>144</v>
      </c>
      <c r="C90" s="121" t="s">
        <v>322</v>
      </c>
      <c r="D90" s="122" t="s">
        <v>235</v>
      </c>
      <c r="E90" s="123">
        <v>2</v>
      </c>
      <c r="F90" s="124">
        <v>8.5</v>
      </c>
      <c r="G90" s="124">
        <f>ROUND(E90*F90,2)</f>
        <v>17</v>
      </c>
      <c r="H90" s="149">
        <f t="shared" si="34"/>
        <v>51</v>
      </c>
      <c r="I90" s="149" t="e">
        <f>#REF!*12</f>
        <v>#REF!</v>
      </c>
      <c r="J90" s="149" t="e">
        <f>15*#REF!</f>
        <v>#REF!</v>
      </c>
      <c r="K90" s="189" t="e">
        <f t="shared" si="40"/>
        <v>#REF!</v>
      </c>
      <c r="L90" s="191">
        <f t="shared" si="30"/>
        <v>0.16795000227226473</v>
      </c>
      <c r="M90" s="191" t="e">
        <f t="shared" si="31"/>
        <v>#REF!</v>
      </c>
      <c r="N90" s="191" t="e">
        <f t="shared" si="32"/>
        <v>#REF!</v>
      </c>
      <c r="O90" s="191"/>
      <c r="P90" s="191"/>
      <c r="Q90" s="191"/>
    </row>
    <row r="91" spans="1:17" s="103" customFormat="1" ht="25.5">
      <c r="A91" s="120"/>
      <c r="B91" s="120" t="s">
        <v>145</v>
      </c>
      <c r="C91" s="121" t="s">
        <v>323</v>
      </c>
      <c r="D91" s="122" t="s">
        <v>235</v>
      </c>
      <c r="E91" s="123">
        <v>4</v>
      </c>
      <c r="F91" s="124">
        <v>11.24</v>
      </c>
      <c r="G91" s="124">
        <f>ROUND(E91*F91,2)</f>
        <v>44.96</v>
      </c>
      <c r="H91" s="149">
        <f t="shared" si="34"/>
        <v>134.88</v>
      </c>
      <c r="I91" s="149" t="e">
        <f>#REF!*12</f>
        <v>#REF!</v>
      </c>
      <c r="J91" s="149" t="e">
        <f>15*#REF!</f>
        <v>#REF!</v>
      </c>
      <c r="K91" s="189" t="e">
        <f t="shared" si="40"/>
        <v>#REF!</v>
      </c>
      <c r="L91" s="191">
        <f t="shared" si="30"/>
        <v>0.44417835895064833</v>
      </c>
      <c r="M91" s="191" t="e">
        <f t="shared" si="31"/>
        <v>#REF!</v>
      </c>
      <c r="N91" s="191" t="e">
        <f t="shared" si="32"/>
        <v>#REF!</v>
      </c>
      <c r="O91" s="191"/>
      <c r="P91" s="191"/>
      <c r="Q91" s="191"/>
    </row>
    <row r="92" spans="1:17" s="103" customFormat="1" ht="25.5">
      <c r="A92" s="120"/>
      <c r="B92" s="120" t="s">
        <v>146</v>
      </c>
      <c r="C92" s="121" t="s">
        <v>324</v>
      </c>
      <c r="D92" s="122" t="s">
        <v>218</v>
      </c>
      <c r="E92" s="123">
        <v>28</v>
      </c>
      <c r="F92" s="124">
        <v>15.41</v>
      </c>
      <c r="G92" s="124">
        <f>ROUND(E92*F92,2)</f>
        <v>431.48</v>
      </c>
      <c r="H92" s="149">
        <f t="shared" si="34"/>
        <v>1294.44</v>
      </c>
      <c r="I92" s="149" t="e">
        <f>#REF!*12</f>
        <v>#REF!</v>
      </c>
      <c r="J92" s="149" t="e">
        <f>15*#REF!</f>
        <v>#REF!</v>
      </c>
      <c r="K92" s="189" t="e">
        <f t="shared" si="40"/>
        <v>#REF!</v>
      </c>
      <c r="L92" s="191">
        <f t="shared" si="30"/>
        <v>4.2627686459080456</v>
      </c>
      <c r="M92" s="191" t="e">
        <f t="shared" si="31"/>
        <v>#REF!</v>
      </c>
      <c r="N92" s="191" t="e">
        <f t="shared" si="32"/>
        <v>#REF!</v>
      </c>
      <c r="O92" s="191"/>
      <c r="P92" s="191"/>
      <c r="Q92" s="191"/>
    </row>
    <row r="93" spans="1:17" s="103" customFormat="1" ht="25.5">
      <c r="A93" s="120"/>
      <c r="B93" s="120" t="s">
        <v>147</v>
      </c>
      <c r="C93" s="121" t="s">
        <v>325</v>
      </c>
      <c r="D93" s="122" t="s">
        <v>218</v>
      </c>
      <c r="E93" s="123">
        <v>12</v>
      </c>
      <c r="F93" s="124">
        <v>20.93</v>
      </c>
      <c r="G93" s="124">
        <f>ROUND(E93*F93,2)</f>
        <v>251.16</v>
      </c>
      <c r="H93" s="149">
        <f t="shared" si="34"/>
        <v>753.48</v>
      </c>
      <c r="I93" s="149" t="e">
        <f>#REF!*12</f>
        <v>#REF!</v>
      </c>
      <c r="J93" s="149" t="e">
        <f>15*#REF!</f>
        <v>#REF!</v>
      </c>
      <c r="K93" s="189" t="e">
        <f t="shared" si="40"/>
        <v>#REF!</v>
      </c>
      <c r="L93" s="191">
        <f t="shared" si="30"/>
        <v>2.4813130923942355</v>
      </c>
      <c r="M93" s="191" t="e">
        <f t="shared" si="31"/>
        <v>#REF!</v>
      </c>
      <c r="N93" s="191" t="e">
        <f t="shared" si="32"/>
        <v>#REF!</v>
      </c>
      <c r="O93" s="191"/>
      <c r="P93" s="191"/>
      <c r="Q93" s="191"/>
    </row>
    <row r="94" spans="1:17" s="103" customFormat="1">
      <c r="A94" s="125" t="s">
        <v>36</v>
      </c>
      <c r="B94" s="125"/>
      <c r="C94" s="126" t="s">
        <v>329</v>
      </c>
      <c r="D94" s="127"/>
      <c r="E94" s="100"/>
      <c r="F94" s="128"/>
      <c r="G94" s="128"/>
      <c r="H94" s="149">
        <f t="shared" si="34"/>
        <v>0</v>
      </c>
      <c r="I94" s="149" t="e">
        <f>#REF!*12</f>
        <v>#REF!</v>
      </c>
      <c r="J94" s="149" t="e">
        <f>15*#REF!</f>
        <v>#REF!</v>
      </c>
      <c r="K94" s="189" t="e">
        <f t="shared" ref="K94:K99" si="41">J94+I94+H94</f>
        <v>#REF!</v>
      </c>
      <c r="L94" s="191">
        <f t="shared" si="30"/>
        <v>0</v>
      </c>
      <c r="M94" s="191" t="e">
        <f t="shared" si="31"/>
        <v>#REF!</v>
      </c>
      <c r="N94" s="191" t="e">
        <f t="shared" si="32"/>
        <v>#REF!</v>
      </c>
    </row>
    <row r="95" spans="1:17" s="103" customFormat="1" ht="25.5">
      <c r="A95" s="120"/>
      <c r="B95" s="120" t="s">
        <v>150</v>
      </c>
      <c r="C95" s="121" t="s">
        <v>330</v>
      </c>
      <c r="D95" s="122" t="s">
        <v>235</v>
      </c>
      <c r="E95" s="123">
        <v>3</v>
      </c>
      <c r="F95" s="124">
        <v>7.22</v>
      </c>
      <c r="G95" s="124">
        <f t="shared" ref="G95:G99" si="42">ROUND(E95*F95,2)</f>
        <v>21.66</v>
      </c>
      <c r="H95" s="149">
        <f t="shared" si="34"/>
        <v>64.98</v>
      </c>
      <c r="I95" s="149" t="e">
        <f>#REF!*12</f>
        <v>#REF!</v>
      </c>
      <c r="J95" s="149" t="e">
        <f>15*#REF!</f>
        <v>#REF!</v>
      </c>
      <c r="K95" s="189" t="e">
        <f t="shared" si="41"/>
        <v>#REF!</v>
      </c>
      <c r="L95" s="191">
        <f t="shared" si="30"/>
        <v>0.21398806171866197</v>
      </c>
      <c r="M95" s="191" t="e">
        <f t="shared" si="31"/>
        <v>#REF!</v>
      </c>
      <c r="N95" s="191" t="e">
        <f t="shared" si="32"/>
        <v>#REF!</v>
      </c>
      <c r="P95" s="191"/>
    </row>
    <row r="96" spans="1:17" s="103" customFormat="1" ht="25.5">
      <c r="A96" s="120"/>
      <c r="B96" s="120" t="s">
        <v>151</v>
      </c>
      <c r="C96" s="121" t="s">
        <v>353</v>
      </c>
      <c r="D96" s="122" t="s">
        <v>235</v>
      </c>
      <c r="E96" s="123">
        <v>1</v>
      </c>
      <c r="F96" s="124">
        <v>105.31</v>
      </c>
      <c r="G96" s="124">
        <f t="shared" si="42"/>
        <v>105.31</v>
      </c>
      <c r="H96" s="149">
        <f t="shared" si="34"/>
        <v>315.93</v>
      </c>
      <c r="I96" s="149" t="e">
        <f>#REF!*12</f>
        <v>#REF!</v>
      </c>
      <c r="J96" s="149" t="e">
        <f>15*#REF!</f>
        <v>#REF!</v>
      </c>
      <c r="K96" s="189" t="e">
        <f t="shared" si="41"/>
        <v>#REF!</v>
      </c>
      <c r="L96" s="191">
        <f t="shared" ref="L96:L114" si="43">H96*100/$H$115</f>
        <v>1.040400867017188</v>
      </c>
      <c r="M96" s="191" t="e">
        <f t="shared" ref="M96:M114" si="44">I96*100/$I$115</f>
        <v>#REF!</v>
      </c>
      <c r="N96" s="191" t="e">
        <f t="shared" ref="N96:N114" si="45">J96*100/$J$115</f>
        <v>#REF!</v>
      </c>
      <c r="P96" s="191"/>
    </row>
    <row r="97" spans="1:16" s="103" customFormat="1" ht="25.5">
      <c r="A97" s="120"/>
      <c r="B97" s="120" t="s">
        <v>152</v>
      </c>
      <c r="C97" s="121" t="s">
        <v>354</v>
      </c>
      <c r="D97" s="122" t="s">
        <v>235</v>
      </c>
      <c r="E97" s="123">
        <v>2</v>
      </c>
      <c r="F97" s="124">
        <v>156.01</v>
      </c>
      <c r="G97" s="124">
        <f t="shared" si="42"/>
        <v>312.02</v>
      </c>
      <c r="H97" s="149">
        <f t="shared" si="34"/>
        <v>936.06</v>
      </c>
      <c r="I97" s="149" t="e">
        <f>#REF!*12</f>
        <v>#REF!</v>
      </c>
      <c r="J97" s="149" t="e">
        <f>15*#REF!</f>
        <v>#REF!</v>
      </c>
      <c r="K97" s="189" t="e">
        <f t="shared" si="41"/>
        <v>#REF!</v>
      </c>
      <c r="L97" s="191">
        <f t="shared" si="43"/>
        <v>3.0825741005289431</v>
      </c>
      <c r="M97" s="191" t="e">
        <f t="shared" si="44"/>
        <v>#REF!</v>
      </c>
      <c r="N97" s="191" t="e">
        <f t="shared" si="45"/>
        <v>#REF!</v>
      </c>
      <c r="P97" s="191"/>
    </row>
    <row r="98" spans="1:16" s="103" customFormat="1">
      <c r="A98" s="120"/>
      <c r="B98" s="120" t="s">
        <v>153</v>
      </c>
      <c r="C98" s="121" t="s">
        <v>421</v>
      </c>
      <c r="D98" s="122" t="s">
        <v>235</v>
      </c>
      <c r="E98" s="123">
        <v>2</v>
      </c>
      <c r="F98" s="124">
        <v>17.3</v>
      </c>
      <c r="G98" s="124">
        <f t="shared" si="42"/>
        <v>34.6</v>
      </c>
      <c r="H98" s="149">
        <f t="shared" si="34"/>
        <v>103.80000000000001</v>
      </c>
      <c r="I98" s="149" t="e">
        <f>#REF!*12</f>
        <v>#REF!</v>
      </c>
      <c r="J98" s="149" t="e">
        <f>15*#REF!</f>
        <v>#REF!</v>
      </c>
      <c r="K98" s="189" t="e">
        <f t="shared" si="41"/>
        <v>#REF!</v>
      </c>
      <c r="L98" s="191">
        <f t="shared" si="43"/>
        <v>0.34182765168355062</v>
      </c>
      <c r="M98" s="191" t="e">
        <f t="shared" si="44"/>
        <v>#REF!</v>
      </c>
      <c r="N98" s="191" t="e">
        <f t="shared" si="45"/>
        <v>#REF!</v>
      </c>
      <c r="P98" s="191"/>
    </row>
    <row r="99" spans="1:16" s="103" customFormat="1">
      <c r="A99" s="120"/>
      <c r="B99" s="120" t="s">
        <v>154</v>
      </c>
      <c r="C99" s="121" t="s">
        <v>376</v>
      </c>
      <c r="D99" s="122" t="s">
        <v>235</v>
      </c>
      <c r="E99" s="123">
        <v>1</v>
      </c>
      <c r="F99" s="124">
        <v>2.76</v>
      </c>
      <c r="G99" s="124">
        <f t="shared" si="42"/>
        <v>2.76</v>
      </c>
      <c r="H99" s="149">
        <f t="shared" si="34"/>
        <v>8.2799999999999994</v>
      </c>
      <c r="I99" s="149" t="e">
        <f>#REF!*12</f>
        <v>#REF!</v>
      </c>
      <c r="J99" s="149" t="e">
        <f>15*#REF!</f>
        <v>#REF!</v>
      </c>
      <c r="K99" s="189" t="e">
        <f t="shared" si="41"/>
        <v>#REF!</v>
      </c>
      <c r="L99" s="191">
        <f t="shared" si="43"/>
        <v>2.7267176839497091E-2</v>
      </c>
      <c r="M99" s="191" t="e">
        <f t="shared" si="44"/>
        <v>#REF!</v>
      </c>
      <c r="N99" s="191" t="e">
        <f t="shared" si="45"/>
        <v>#REF!</v>
      </c>
      <c r="P99" s="191"/>
    </row>
    <row r="100" spans="1:16" s="103" customFormat="1">
      <c r="H100" s="149">
        <f t="shared" ref="H100:H102" si="46">G100*3</f>
        <v>0</v>
      </c>
      <c r="I100" s="149" t="e">
        <f>#REF!*12</f>
        <v>#REF!</v>
      </c>
      <c r="J100" s="149" t="e">
        <f>15*#REF!</f>
        <v>#REF!</v>
      </c>
      <c r="K100" s="189" t="e">
        <f t="shared" ref="K100:K102" si="47">J100+I100+H100</f>
        <v>#REF!</v>
      </c>
      <c r="L100" s="191">
        <f t="shared" si="43"/>
        <v>0</v>
      </c>
      <c r="M100" s="191" t="e">
        <f t="shared" si="44"/>
        <v>#REF!</v>
      </c>
      <c r="N100" s="191" t="e">
        <f t="shared" si="45"/>
        <v>#REF!</v>
      </c>
      <c r="P100" s="191"/>
    </row>
    <row r="101" spans="1:16" s="103" customFormat="1">
      <c r="H101" s="149">
        <f t="shared" si="46"/>
        <v>0</v>
      </c>
      <c r="I101" s="149" t="e">
        <f>#REF!*12</f>
        <v>#REF!</v>
      </c>
      <c r="J101" s="149" t="e">
        <f>15*#REF!</f>
        <v>#REF!</v>
      </c>
      <c r="K101" s="189" t="e">
        <f t="shared" si="47"/>
        <v>#REF!</v>
      </c>
      <c r="L101" s="191">
        <f t="shared" si="43"/>
        <v>0</v>
      </c>
      <c r="M101" s="191" t="e">
        <f t="shared" si="44"/>
        <v>#REF!</v>
      </c>
      <c r="N101" s="191" t="e">
        <f t="shared" si="45"/>
        <v>#REF!</v>
      </c>
      <c r="P101" s="191"/>
    </row>
    <row r="102" spans="1:16" s="103" customFormat="1" ht="25.5">
      <c r="A102" s="120"/>
      <c r="B102" s="120" t="s">
        <v>155</v>
      </c>
      <c r="C102" s="121" t="s">
        <v>422</v>
      </c>
      <c r="D102" s="122" t="s">
        <v>235</v>
      </c>
      <c r="E102" s="123">
        <v>1</v>
      </c>
      <c r="F102" s="124">
        <v>21.86</v>
      </c>
      <c r="G102" s="124">
        <f>ROUND(E102*F102,2)</f>
        <v>21.86</v>
      </c>
      <c r="H102" s="149">
        <f t="shared" si="46"/>
        <v>65.58</v>
      </c>
      <c r="I102" s="149" t="e">
        <f>#REF!*12</f>
        <v>#REF!</v>
      </c>
      <c r="J102" s="149" t="e">
        <f>15*#REF!</f>
        <v>#REF!</v>
      </c>
      <c r="K102" s="189" t="e">
        <f t="shared" si="47"/>
        <v>#REF!</v>
      </c>
      <c r="L102" s="191">
        <f t="shared" si="43"/>
        <v>0.21596394409833569</v>
      </c>
      <c r="M102" s="191" t="e">
        <f t="shared" si="44"/>
        <v>#REF!</v>
      </c>
      <c r="N102" s="191" t="e">
        <f t="shared" si="45"/>
        <v>#REF!</v>
      </c>
      <c r="P102" s="191"/>
    </row>
    <row r="103" spans="1:16" s="103" customFormat="1">
      <c r="H103" s="149">
        <f t="shared" ref="H103:H114" si="48">G103*3</f>
        <v>0</v>
      </c>
      <c r="I103" s="149" t="e">
        <f>#REF!*12</f>
        <v>#REF!</v>
      </c>
      <c r="J103" s="149" t="e">
        <f>15*#REF!</f>
        <v>#REF!</v>
      </c>
      <c r="K103" s="189" t="e">
        <f t="shared" ref="K103:K114" si="49">J103+I103+H103</f>
        <v>#REF!</v>
      </c>
      <c r="L103" s="191">
        <f t="shared" si="43"/>
        <v>0</v>
      </c>
      <c r="M103" s="191" t="e">
        <f t="shared" si="44"/>
        <v>#REF!</v>
      </c>
      <c r="N103" s="191" t="e">
        <f t="shared" si="45"/>
        <v>#REF!</v>
      </c>
      <c r="P103" s="191"/>
    </row>
    <row r="104" spans="1:16" s="103" customFormat="1" ht="25.5">
      <c r="A104" s="120"/>
      <c r="B104" s="120" t="s">
        <v>156</v>
      </c>
      <c r="C104" s="121" t="s">
        <v>423</v>
      </c>
      <c r="D104" s="122" t="s">
        <v>235</v>
      </c>
      <c r="E104" s="123">
        <v>4</v>
      </c>
      <c r="F104" s="124">
        <v>5.8</v>
      </c>
      <c r="G104" s="124">
        <f t="shared" ref="G104:G113" si="50">ROUND(E104*F104,2)</f>
        <v>23.2</v>
      </c>
      <c r="H104" s="149">
        <f t="shared" si="48"/>
        <v>69.599999999999994</v>
      </c>
      <c r="I104" s="149" t="e">
        <f>#REF!*12</f>
        <v>#REF!</v>
      </c>
      <c r="J104" s="149" t="e">
        <f>15*#REF!</f>
        <v>#REF!</v>
      </c>
      <c r="K104" s="189" t="e">
        <f t="shared" si="49"/>
        <v>#REF!</v>
      </c>
      <c r="L104" s="191">
        <f t="shared" si="43"/>
        <v>0.22920235604214947</v>
      </c>
      <c r="M104" s="191" t="e">
        <f t="shared" si="44"/>
        <v>#REF!</v>
      </c>
      <c r="N104" s="191" t="e">
        <f t="shared" si="45"/>
        <v>#REF!</v>
      </c>
      <c r="P104" s="191"/>
    </row>
    <row r="105" spans="1:16" s="103" customFormat="1" ht="25.5">
      <c r="A105" s="120"/>
      <c r="B105" s="120" t="s">
        <v>157</v>
      </c>
      <c r="C105" s="121" t="s">
        <v>424</v>
      </c>
      <c r="D105" s="122" t="s">
        <v>235</v>
      </c>
      <c r="E105" s="123">
        <v>3</v>
      </c>
      <c r="F105" s="124">
        <v>7.33</v>
      </c>
      <c r="G105" s="124">
        <f t="shared" si="50"/>
        <v>21.99</v>
      </c>
      <c r="H105" s="149">
        <f t="shared" si="48"/>
        <v>65.97</v>
      </c>
      <c r="I105" s="149" t="e">
        <f>#REF!*12</f>
        <v>#REF!</v>
      </c>
      <c r="J105" s="149" t="e">
        <f>15*#REF!</f>
        <v>#REF!</v>
      </c>
      <c r="K105" s="189" t="e">
        <f t="shared" si="49"/>
        <v>#REF!</v>
      </c>
      <c r="L105" s="191">
        <f t="shared" si="43"/>
        <v>0.21724826764512359</v>
      </c>
      <c r="M105" s="191" t="e">
        <f t="shared" si="44"/>
        <v>#REF!</v>
      </c>
      <c r="N105" s="191" t="e">
        <f t="shared" si="45"/>
        <v>#REF!</v>
      </c>
      <c r="P105" s="191"/>
    </row>
    <row r="106" spans="1:16" s="103" customFormat="1" ht="38.25">
      <c r="A106" s="120"/>
      <c r="B106" s="120" t="s">
        <v>158</v>
      </c>
      <c r="C106" s="121" t="s">
        <v>331</v>
      </c>
      <c r="D106" s="122" t="s">
        <v>235</v>
      </c>
      <c r="E106" s="123">
        <v>3</v>
      </c>
      <c r="F106" s="124">
        <v>5.24</v>
      </c>
      <c r="G106" s="124">
        <f t="shared" si="50"/>
        <v>15.72</v>
      </c>
      <c r="H106" s="149">
        <f t="shared" si="48"/>
        <v>47.160000000000004</v>
      </c>
      <c r="I106" s="149" t="e">
        <f>#REF!*12</f>
        <v>#REF!</v>
      </c>
      <c r="J106" s="149" t="e">
        <f>15*#REF!</f>
        <v>#REF!</v>
      </c>
      <c r="K106" s="189" t="e">
        <f t="shared" si="49"/>
        <v>#REF!</v>
      </c>
      <c r="L106" s="191">
        <f t="shared" si="43"/>
        <v>0.15530435504235302</v>
      </c>
      <c r="M106" s="191" t="e">
        <f t="shared" si="44"/>
        <v>#REF!</v>
      </c>
      <c r="N106" s="191" t="e">
        <f t="shared" si="45"/>
        <v>#REF!</v>
      </c>
      <c r="P106" s="191"/>
    </row>
    <row r="107" spans="1:16" s="103" customFormat="1" ht="38.25">
      <c r="A107" s="120"/>
      <c r="B107" s="120" t="s">
        <v>159</v>
      </c>
      <c r="C107" s="121" t="s">
        <v>332</v>
      </c>
      <c r="D107" s="122" t="s">
        <v>235</v>
      </c>
      <c r="E107" s="123">
        <v>7</v>
      </c>
      <c r="F107" s="124">
        <v>6.92</v>
      </c>
      <c r="G107" s="124">
        <f t="shared" si="50"/>
        <v>48.44</v>
      </c>
      <c r="H107" s="149">
        <f t="shared" si="48"/>
        <v>145.32</v>
      </c>
      <c r="I107" s="149" t="e">
        <f>#REF!*12</f>
        <v>#REF!</v>
      </c>
      <c r="J107" s="149" t="e">
        <f>15*#REF!</f>
        <v>#REF!</v>
      </c>
      <c r="K107" s="189" t="e">
        <f t="shared" si="49"/>
        <v>#REF!</v>
      </c>
      <c r="L107" s="191">
        <f t="shared" si="43"/>
        <v>0.47855871235697073</v>
      </c>
      <c r="M107" s="191" t="e">
        <f t="shared" si="44"/>
        <v>#REF!</v>
      </c>
      <c r="N107" s="191" t="e">
        <f t="shared" si="45"/>
        <v>#REF!</v>
      </c>
      <c r="P107" s="191"/>
    </row>
    <row r="108" spans="1:16" s="103" customFormat="1" ht="38.25">
      <c r="A108" s="120"/>
      <c r="B108" s="120" t="s">
        <v>160</v>
      </c>
      <c r="C108" s="121" t="s">
        <v>333</v>
      </c>
      <c r="D108" s="122" t="s">
        <v>235</v>
      </c>
      <c r="E108" s="123">
        <v>1</v>
      </c>
      <c r="F108" s="124">
        <v>22.6</v>
      </c>
      <c r="G108" s="124">
        <f t="shared" si="50"/>
        <v>22.6</v>
      </c>
      <c r="H108" s="149">
        <f t="shared" si="48"/>
        <v>67.800000000000011</v>
      </c>
      <c r="I108" s="149" t="e">
        <f>#REF!*12</f>
        <v>#REF!</v>
      </c>
      <c r="J108" s="149" t="e">
        <f>15*#REF!</f>
        <v>#REF!</v>
      </c>
      <c r="K108" s="189" t="e">
        <f t="shared" si="49"/>
        <v>#REF!</v>
      </c>
      <c r="L108" s="191">
        <f t="shared" si="43"/>
        <v>0.22327470890312842</v>
      </c>
      <c r="M108" s="191" t="e">
        <f t="shared" si="44"/>
        <v>#REF!</v>
      </c>
      <c r="N108" s="191" t="e">
        <f t="shared" si="45"/>
        <v>#REF!</v>
      </c>
      <c r="P108" s="191"/>
    </row>
    <row r="109" spans="1:16" s="103" customFormat="1" ht="38.25">
      <c r="A109" s="120"/>
      <c r="B109" s="120" t="s">
        <v>161</v>
      </c>
      <c r="C109" s="121" t="s">
        <v>334</v>
      </c>
      <c r="D109" s="122" t="s">
        <v>235</v>
      </c>
      <c r="E109" s="123">
        <v>1</v>
      </c>
      <c r="F109" s="124">
        <v>11.91</v>
      </c>
      <c r="G109" s="124">
        <f t="shared" si="50"/>
        <v>11.91</v>
      </c>
      <c r="H109" s="149">
        <f t="shared" si="48"/>
        <v>35.730000000000004</v>
      </c>
      <c r="I109" s="149" t="e">
        <f>#REF!*12</f>
        <v>#REF!</v>
      </c>
      <c r="J109" s="149" t="e">
        <f>15*#REF!</f>
        <v>#REF!</v>
      </c>
      <c r="K109" s="189" t="e">
        <f t="shared" si="49"/>
        <v>#REF!</v>
      </c>
      <c r="L109" s="191">
        <f t="shared" si="43"/>
        <v>0.117663795709569</v>
      </c>
      <c r="M109" s="191" t="e">
        <f t="shared" si="44"/>
        <v>#REF!</v>
      </c>
      <c r="N109" s="191" t="e">
        <f t="shared" si="45"/>
        <v>#REF!</v>
      </c>
      <c r="P109" s="191"/>
    </row>
    <row r="110" spans="1:16" s="103" customFormat="1">
      <c r="A110" s="120"/>
      <c r="B110" s="120" t="s">
        <v>162</v>
      </c>
      <c r="C110" s="121" t="s">
        <v>335</v>
      </c>
      <c r="D110" s="122" t="s">
        <v>235</v>
      </c>
      <c r="E110" s="123">
        <v>1</v>
      </c>
      <c r="F110" s="124">
        <v>13</v>
      </c>
      <c r="G110" s="124">
        <f t="shared" si="50"/>
        <v>13</v>
      </c>
      <c r="H110" s="149">
        <f t="shared" si="48"/>
        <v>39</v>
      </c>
      <c r="I110" s="149" t="e">
        <f>#REF!*12</f>
        <v>#REF!</v>
      </c>
      <c r="J110" s="149" t="e">
        <f>15*#REF!</f>
        <v>#REF!</v>
      </c>
      <c r="K110" s="189" t="e">
        <f t="shared" si="49"/>
        <v>#REF!</v>
      </c>
      <c r="L110" s="191">
        <f t="shared" si="43"/>
        <v>0.12843235467879066</v>
      </c>
      <c r="M110" s="191" t="e">
        <f t="shared" si="44"/>
        <v>#REF!</v>
      </c>
      <c r="N110" s="191" t="e">
        <f t="shared" si="45"/>
        <v>#REF!</v>
      </c>
      <c r="P110" s="191"/>
    </row>
    <row r="111" spans="1:16" s="103" customFormat="1" ht="25.5">
      <c r="A111" s="120"/>
      <c r="B111" s="120" t="s">
        <v>163</v>
      </c>
      <c r="C111" s="121" t="s">
        <v>337</v>
      </c>
      <c r="D111" s="122" t="s">
        <v>218</v>
      </c>
      <c r="E111" s="123">
        <v>5</v>
      </c>
      <c r="F111" s="124">
        <v>13.59</v>
      </c>
      <c r="G111" s="124">
        <f t="shared" si="50"/>
        <v>67.95</v>
      </c>
      <c r="H111" s="149">
        <f t="shared" si="48"/>
        <v>203.85000000000002</v>
      </c>
      <c r="I111" s="149" t="e">
        <f>#REF!*12</f>
        <v>#REF!</v>
      </c>
      <c r="J111" s="149" t="e">
        <f>15*#REF!</f>
        <v>#REF!</v>
      </c>
      <c r="K111" s="189" t="e">
        <f t="shared" si="49"/>
        <v>#REF!</v>
      </c>
      <c r="L111" s="191">
        <f t="shared" si="43"/>
        <v>0.6713060384941405</v>
      </c>
      <c r="M111" s="191" t="e">
        <f t="shared" si="44"/>
        <v>#REF!</v>
      </c>
      <c r="N111" s="191" t="e">
        <f t="shared" si="45"/>
        <v>#REF!</v>
      </c>
      <c r="P111" s="191"/>
    </row>
    <row r="112" spans="1:16" s="103" customFormat="1" ht="25.5">
      <c r="A112" s="120"/>
      <c r="B112" s="120" t="s">
        <v>164</v>
      </c>
      <c r="C112" s="121" t="s">
        <v>336</v>
      </c>
      <c r="D112" s="122" t="s">
        <v>218</v>
      </c>
      <c r="E112" s="123">
        <v>11</v>
      </c>
      <c r="F112" s="124">
        <v>19.63</v>
      </c>
      <c r="G112" s="124">
        <f t="shared" si="50"/>
        <v>215.93</v>
      </c>
      <c r="H112" s="149">
        <f t="shared" si="48"/>
        <v>647.79</v>
      </c>
      <c r="I112" s="149" t="e">
        <f>#REF!*12</f>
        <v>#REF!</v>
      </c>
      <c r="J112" s="149" t="e">
        <f>15*#REF!</f>
        <v>#REF!</v>
      </c>
      <c r="K112" s="189" t="e">
        <f t="shared" si="49"/>
        <v>#REF!</v>
      </c>
      <c r="L112" s="191">
        <f t="shared" si="43"/>
        <v>2.133261411214713</v>
      </c>
      <c r="M112" s="191" t="e">
        <f t="shared" si="44"/>
        <v>#REF!</v>
      </c>
      <c r="N112" s="191" t="e">
        <f t="shared" si="45"/>
        <v>#REF!</v>
      </c>
      <c r="P112" s="191"/>
    </row>
    <row r="113" spans="1:17" s="103" customFormat="1" ht="25.5">
      <c r="A113" s="120"/>
      <c r="B113" s="120" t="s">
        <v>165</v>
      </c>
      <c r="C113" s="121" t="s">
        <v>338</v>
      </c>
      <c r="D113" s="122" t="s">
        <v>218</v>
      </c>
      <c r="E113" s="123">
        <v>14</v>
      </c>
      <c r="F113" s="124">
        <v>37.590000000000003</v>
      </c>
      <c r="G113" s="124">
        <f t="shared" si="50"/>
        <v>526.26</v>
      </c>
      <c r="H113" s="149">
        <f t="shared" si="48"/>
        <v>1578.78</v>
      </c>
      <c r="I113" s="149" t="e">
        <f>#REF!*12</f>
        <v>#REF!</v>
      </c>
      <c r="J113" s="149" t="e">
        <f>15*#REF!</f>
        <v>#REF!</v>
      </c>
      <c r="K113" s="189" t="e">
        <f t="shared" si="49"/>
        <v>#REF!</v>
      </c>
      <c r="L113" s="191">
        <f t="shared" si="43"/>
        <v>5.1991393056354136</v>
      </c>
      <c r="M113" s="191" t="e">
        <f t="shared" si="44"/>
        <v>#REF!</v>
      </c>
      <c r="N113" s="191" t="e">
        <f t="shared" si="45"/>
        <v>#REF!</v>
      </c>
      <c r="P113" s="191"/>
    </row>
    <row r="114" spans="1:17" s="103" customFormat="1" ht="15.75" thickBot="1">
      <c r="H114" s="149">
        <f t="shared" si="48"/>
        <v>0</v>
      </c>
      <c r="J114" s="149" t="e">
        <f>15*#REF!</f>
        <v>#REF!</v>
      </c>
      <c r="K114" s="150" t="e">
        <f t="shared" si="49"/>
        <v>#REF!</v>
      </c>
      <c r="L114" s="191">
        <f t="shared" si="43"/>
        <v>0</v>
      </c>
      <c r="M114" s="191" t="e">
        <f t="shared" si="44"/>
        <v>#REF!</v>
      </c>
      <c r="N114" s="191" t="e">
        <f t="shared" si="45"/>
        <v>#REF!</v>
      </c>
      <c r="P114" s="165"/>
    </row>
    <row r="115" spans="1:17" s="103" customFormat="1">
      <c r="A115" s="202"/>
      <c r="B115" s="202"/>
      <c r="C115" s="203"/>
      <c r="D115" s="204"/>
      <c r="E115" s="205"/>
      <c r="F115" s="206"/>
      <c r="G115" s="206"/>
      <c r="H115" s="212">
        <f>SUM(H64:H114)</f>
        <v>30366.180000000004</v>
      </c>
      <c r="I115" s="200" t="e">
        <f>SUM(I64:I114)</f>
        <v>#REF!</v>
      </c>
      <c r="J115" s="200" t="e">
        <f>SUM(J64:J114)</f>
        <v>#REF!</v>
      </c>
      <c r="K115" s="200" t="e">
        <f>SUM(K64:K114)</f>
        <v>#REF!</v>
      </c>
      <c r="L115" s="190">
        <f t="shared" ref="L115" si="51">H115/$H$115</f>
        <v>1</v>
      </c>
      <c r="M115" s="201">
        <f>L115*100</f>
        <v>100</v>
      </c>
      <c r="P115" s="165"/>
    </row>
    <row r="116" spans="1:17" s="103" customFormat="1">
      <c r="A116" s="179"/>
      <c r="B116" s="179"/>
      <c r="C116" s="203"/>
      <c r="D116" s="204"/>
      <c r="E116" s="205"/>
      <c r="F116" s="206"/>
      <c r="G116" s="206"/>
      <c r="H116" s="213" t="e">
        <f>H115/$K$115</f>
        <v>#REF!</v>
      </c>
      <c r="I116" s="213" t="e">
        <f t="shared" ref="I116:J116" si="52">I115/$K$115</f>
        <v>#REF!</v>
      </c>
      <c r="J116" s="213" t="e">
        <f t="shared" si="52"/>
        <v>#REF!</v>
      </c>
      <c r="K116" s="198">
        <v>0.2198</v>
      </c>
      <c r="L116" s="190"/>
      <c r="M116" s="191"/>
      <c r="P116" s="165"/>
    </row>
    <row r="117" spans="1:17" s="103" customFormat="1">
      <c r="A117" s="202"/>
      <c r="B117" s="202"/>
      <c r="C117" s="203"/>
      <c r="D117" s="204"/>
      <c r="E117" s="205"/>
      <c r="F117" s="206"/>
      <c r="G117" s="206"/>
      <c r="H117" s="214" t="e">
        <f>H116*100*$K$116</f>
        <v>#REF!</v>
      </c>
      <c r="I117" s="214" t="e">
        <f t="shared" ref="I117:J117" si="53">I116*100*$K$116</f>
        <v>#REF!</v>
      </c>
      <c r="J117" s="214" t="e">
        <f t="shared" si="53"/>
        <v>#REF!</v>
      </c>
      <c r="K117" s="207"/>
      <c r="L117" s="208"/>
      <c r="M117" s="209"/>
      <c r="P117" s="165"/>
    </row>
    <row r="118" spans="1:17" s="103" customFormat="1">
      <c r="A118" s="202"/>
      <c r="B118" s="202"/>
      <c r="C118" s="203"/>
      <c r="D118" s="204"/>
      <c r="E118" s="205"/>
      <c r="F118" s="206"/>
      <c r="G118" s="206"/>
      <c r="H118" s="207"/>
      <c r="I118" s="207"/>
      <c r="J118" s="207"/>
      <c r="K118" s="207"/>
      <c r="L118" s="208"/>
      <c r="M118" s="209"/>
      <c r="P118" s="165"/>
    </row>
    <row r="119" spans="1:17" s="103" customFormat="1">
      <c r="A119" s="202"/>
      <c r="B119" s="202"/>
      <c r="C119" s="203"/>
      <c r="D119" s="204"/>
      <c r="E119" s="205"/>
      <c r="F119" s="206"/>
      <c r="G119" s="206"/>
      <c r="H119" s="207"/>
      <c r="I119" s="207"/>
      <c r="J119" s="207"/>
      <c r="K119" s="207"/>
      <c r="L119" s="208"/>
      <c r="M119" s="209"/>
      <c r="P119" s="165"/>
    </row>
    <row r="120" spans="1:17">
      <c r="A120" s="210"/>
      <c r="B120" s="210"/>
      <c r="C120" s="210"/>
      <c r="D120" s="210"/>
      <c r="E120" s="210"/>
      <c r="F120" s="210"/>
      <c r="G120" s="210"/>
      <c r="H120" s="210"/>
      <c r="I120" s="210"/>
      <c r="J120" s="210"/>
      <c r="K120" s="210"/>
      <c r="L120" s="211"/>
      <c r="M120" s="210"/>
    </row>
    <row r="121" spans="1:17" s="103" customFormat="1">
      <c r="A121" s="192" t="s">
        <v>84</v>
      </c>
      <c r="B121" s="192"/>
      <c r="C121" s="193" t="s">
        <v>257</v>
      </c>
      <c r="D121" s="194"/>
      <c r="E121" s="195"/>
      <c r="F121" s="196"/>
      <c r="G121" s="196"/>
      <c r="H121" s="151">
        <v>47</v>
      </c>
      <c r="I121" s="151">
        <v>43</v>
      </c>
      <c r="J121" s="151">
        <v>38</v>
      </c>
      <c r="K121" s="151" t="s">
        <v>435</v>
      </c>
      <c r="L121" s="151">
        <v>47</v>
      </c>
      <c r="M121" s="151">
        <v>43</v>
      </c>
      <c r="N121" s="151">
        <v>38</v>
      </c>
      <c r="O121" s="151">
        <v>47</v>
      </c>
      <c r="P121" s="151">
        <v>43</v>
      </c>
      <c r="Q121" s="151">
        <v>38</v>
      </c>
    </row>
    <row r="122" spans="1:17" s="103" customFormat="1">
      <c r="A122" s="135" t="s">
        <v>94</v>
      </c>
      <c r="B122" s="72"/>
      <c r="C122" s="136" t="s">
        <v>258</v>
      </c>
      <c r="D122" s="137"/>
      <c r="E122" s="138"/>
      <c r="F122" s="139"/>
      <c r="G122" s="139"/>
      <c r="H122" s="150"/>
      <c r="L122" s="199" t="s">
        <v>185</v>
      </c>
      <c r="M122" s="199" t="s">
        <v>185</v>
      </c>
      <c r="N122" s="199" t="s">
        <v>185</v>
      </c>
      <c r="O122" s="199" t="s">
        <v>185</v>
      </c>
      <c r="P122" s="199" t="s">
        <v>185</v>
      </c>
      <c r="Q122" s="199" t="s">
        <v>185</v>
      </c>
    </row>
    <row r="123" spans="1:17" s="103" customFormat="1">
      <c r="A123" s="120"/>
      <c r="B123" s="120" t="s">
        <v>193</v>
      </c>
      <c r="C123" s="121" t="s">
        <v>259</v>
      </c>
      <c r="D123" s="122" t="s">
        <v>212</v>
      </c>
      <c r="E123" s="123">
        <v>114.83</v>
      </c>
      <c r="F123" s="124">
        <v>7.94</v>
      </c>
      <c r="G123" s="124">
        <f t="shared" ref="G123:G132" si="54">ROUND(E123*F123,2)</f>
        <v>911.75</v>
      </c>
      <c r="H123" s="149">
        <f t="shared" si="4"/>
        <v>2735.25</v>
      </c>
      <c r="I123" s="149" t="e">
        <f>#REF!*12</f>
        <v>#REF!</v>
      </c>
      <c r="J123" s="149" t="e">
        <f>15*#REF!</f>
        <v>#REF!</v>
      </c>
      <c r="K123" s="150" t="e">
        <f>J123+I123+H123</f>
        <v>#REF!</v>
      </c>
      <c r="L123" s="191">
        <f t="shared" ref="L123:L133" si="55">H123*100/$H$134</f>
        <v>14.094925672166021</v>
      </c>
      <c r="M123" s="191" t="e">
        <f t="shared" ref="M123:M128" si="56">I123*100/$I$134</f>
        <v>#REF!</v>
      </c>
      <c r="N123" s="191" t="e">
        <f t="shared" ref="N123:N128" si="57">J123*100/$J$134</f>
        <v>#REF!</v>
      </c>
      <c r="O123" s="197">
        <f>L123</f>
        <v>14.094925672166021</v>
      </c>
    </row>
    <row r="124" spans="1:17" s="103" customFormat="1" ht="25.5">
      <c r="A124" s="120"/>
      <c r="B124" s="120" t="s">
        <v>194</v>
      </c>
      <c r="C124" s="121" t="s">
        <v>260</v>
      </c>
      <c r="D124" s="122" t="s">
        <v>212</v>
      </c>
      <c r="E124" s="123">
        <v>74.069999999999993</v>
      </c>
      <c r="F124" s="124">
        <v>7.12</v>
      </c>
      <c r="G124" s="124">
        <f t="shared" si="54"/>
        <v>527.38</v>
      </c>
      <c r="H124" s="149">
        <f t="shared" si="4"/>
        <v>1582.1399999999999</v>
      </c>
      <c r="I124" s="149" t="e">
        <f>#REF!*12</f>
        <v>#REF!</v>
      </c>
      <c r="J124" s="149" t="e">
        <f>15*#REF!</f>
        <v>#REF!</v>
      </c>
      <c r="K124" s="150" t="e">
        <f t="shared" si="11"/>
        <v>#REF!</v>
      </c>
      <c r="L124" s="191">
        <f t="shared" si="55"/>
        <v>8.1528729377427105</v>
      </c>
      <c r="M124" s="191" t="e">
        <f t="shared" si="56"/>
        <v>#REF!</v>
      </c>
      <c r="N124" s="191" t="e">
        <f t="shared" si="57"/>
        <v>#REF!</v>
      </c>
      <c r="O124" s="197">
        <f>L124+L125</f>
        <v>10.114181651784611</v>
      </c>
    </row>
    <row r="125" spans="1:17" s="103" customFormat="1" ht="25.5">
      <c r="A125" s="120"/>
      <c r="B125" s="120" t="s">
        <v>195</v>
      </c>
      <c r="C125" s="121" t="s">
        <v>378</v>
      </c>
      <c r="D125" s="122" t="s">
        <v>212</v>
      </c>
      <c r="E125" s="123">
        <v>8.7799999999999994</v>
      </c>
      <c r="F125" s="124">
        <v>14.45</v>
      </c>
      <c r="G125" s="124">
        <f t="shared" si="54"/>
        <v>126.87</v>
      </c>
      <c r="H125" s="149">
        <f t="shared" si="4"/>
        <v>380.61</v>
      </c>
      <c r="K125" s="150" t="e">
        <f>J126+I126+H125</f>
        <v>#REF!</v>
      </c>
      <c r="L125" s="191">
        <f t="shared" si="55"/>
        <v>1.9613087140419008</v>
      </c>
      <c r="M125" s="191" t="e">
        <f t="shared" si="56"/>
        <v>#REF!</v>
      </c>
      <c r="N125" s="191" t="e">
        <f t="shared" si="57"/>
        <v>#REF!</v>
      </c>
      <c r="O125" s="197">
        <f>L126</f>
        <v>9.3375114398080594</v>
      </c>
    </row>
    <row r="126" spans="1:17" s="103" customFormat="1">
      <c r="A126" s="120"/>
      <c r="B126" s="120" t="s">
        <v>196</v>
      </c>
      <c r="C126" s="121" t="s">
        <v>261</v>
      </c>
      <c r="D126" s="122" t="s">
        <v>212</v>
      </c>
      <c r="E126" s="123">
        <v>41.8</v>
      </c>
      <c r="F126" s="124">
        <v>14.45</v>
      </c>
      <c r="G126" s="124">
        <f>ROUND(E126*F126,2)</f>
        <v>604.01</v>
      </c>
      <c r="H126" s="149">
        <f t="shared" si="4"/>
        <v>1812.03</v>
      </c>
      <c r="I126" s="149" t="e">
        <f>#REF!*12</f>
        <v>#REF!</v>
      </c>
      <c r="J126" s="149" t="e">
        <f>15*#REF!</f>
        <v>#REF!</v>
      </c>
      <c r="K126" s="150" t="e">
        <f>J127+I127+H126</f>
        <v>#REF!</v>
      </c>
      <c r="L126" s="191">
        <f t="shared" si="55"/>
        <v>9.3375114398080594</v>
      </c>
      <c r="M126" s="191" t="e">
        <f t="shared" si="56"/>
        <v>#REF!</v>
      </c>
      <c r="N126" s="191" t="e">
        <f t="shared" si="57"/>
        <v>#REF!</v>
      </c>
      <c r="O126" s="197">
        <f>L127+L128</f>
        <v>5.5770610205545532</v>
      </c>
      <c r="P126" s="197" t="e">
        <f>M126</f>
        <v>#REF!</v>
      </c>
      <c r="Q126" s="197" t="e">
        <f>N126</f>
        <v>#REF!</v>
      </c>
    </row>
    <row r="127" spans="1:17" s="103" customFormat="1" ht="25.5">
      <c r="A127" s="120"/>
      <c r="B127" s="120" t="s">
        <v>197</v>
      </c>
      <c r="C127" s="121" t="s">
        <v>262</v>
      </c>
      <c r="D127" s="122" t="s">
        <v>212</v>
      </c>
      <c r="E127" s="123">
        <v>32.08</v>
      </c>
      <c r="F127" s="124">
        <v>8.07</v>
      </c>
      <c r="G127" s="124">
        <f>ROUND(E127*F127,2)</f>
        <v>258.89</v>
      </c>
      <c r="H127" s="149">
        <f t="shared" si="4"/>
        <v>776.67</v>
      </c>
      <c r="I127" s="149" t="e">
        <f>#REF!*12</f>
        <v>#REF!</v>
      </c>
      <c r="J127" s="149" t="e">
        <f>15*#REF!</f>
        <v>#REF!</v>
      </c>
      <c r="K127" s="150" t="e">
        <f>J128+I128+H127</f>
        <v>#REF!</v>
      </c>
      <c r="L127" s="191">
        <f t="shared" si="55"/>
        <v>4.00223230849143</v>
      </c>
      <c r="M127" s="191" t="e">
        <f t="shared" si="56"/>
        <v>#REF!</v>
      </c>
      <c r="N127" s="191" t="e">
        <f t="shared" si="57"/>
        <v>#REF!</v>
      </c>
      <c r="O127" s="197">
        <f>L130</f>
        <v>10.618151574364939</v>
      </c>
      <c r="P127" s="197" t="e">
        <f>M127+M128</f>
        <v>#REF!</v>
      </c>
      <c r="Q127" s="197" t="e">
        <f>N127+N128</f>
        <v>#REF!</v>
      </c>
    </row>
    <row r="128" spans="1:17" s="103" customFormat="1" ht="25.5">
      <c r="A128" s="120"/>
      <c r="B128" s="120" t="s">
        <v>198</v>
      </c>
      <c r="C128" s="121" t="s">
        <v>263</v>
      </c>
      <c r="D128" s="122" t="s">
        <v>212</v>
      </c>
      <c r="E128" s="123">
        <v>9.7200000000000006</v>
      </c>
      <c r="F128" s="124">
        <v>10.48</v>
      </c>
      <c r="G128" s="124">
        <f t="shared" si="54"/>
        <v>101.87</v>
      </c>
      <c r="H128" s="149">
        <f t="shared" si="4"/>
        <v>305.61</v>
      </c>
      <c r="I128" s="149" t="e">
        <f>#REF!*12</f>
        <v>#REF!</v>
      </c>
      <c r="J128" s="149" t="e">
        <f>15*#REF!</f>
        <v>#REF!</v>
      </c>
      <c r="L128" s="191">
        <f t="shared" si="55"/>
        <v>1.5748287120631232</v>
      </c>
      <c r="M128" s="191" t="e">
        <f t="shared" si="56"/>
        <v>#REF!</v>
      </c>
      <c r="N128" s="191" t="e">
        <f t="shared" si="57"/>
        <v>#REF!</v>
      </c>
      <c r="O128" s="197">
        <f t="shared" ref="O128:O129" si="58">L131</f>
        <v>25.03138217616068</v>
      </c>
    </row>
    <row r="129" spans="1:17" s="103" customFormat="1">
      <c r="A129" s="125" t="s">
        <v>192</v>
      </c>
      <c r="B129" s="19"/>
      <c r="C129" s="126" t="s">
        <v>264</v>
      </c>
      <c r="D129" s="127"/>
      <c r="E129" s="100"/>
      <c r="F129" s="128"/>
      <c r="G129" s="128"/>
      <c r="L129" s="191">
        <f t="shared" si="55"/>
        <v>0</v>
      </c>
      <c r="M129" s="191"/>
      <c r="N129" s="191"/>
      <c r="O129" s="197">
        <f t="shared" si="58"/>
        <v>16.226440179079379</v>
      </c>
    </row>
    <row r="130" spans="1:17" s="103" customFormat="1">
      <c r="A130" s="120"/>
      <c r="B130" s="120" t="s">
        <v>199</v>
      </c>
      <c r="C130" s="121" t="s">
        <v>410</v>
      </c>
      <c r="D130" s="122" t="s">
        <v>212</v>
      </c>
      <c r="E130" s="123">
        <v>84.07</v>
      </c>
      <c r="F130" s="124">
        <v>8.17</v>
      </c>
      <c r="G130" s="124">
        <f t="shared" si="54"/>
        <v>686.85</v>
      </c>
      <c r="H130" s="149">
        <f>G130*3</f>
        <v>2060.5500000000002</v>
      </c>
      <c r="I130" s="149" t="e">
        <f>#REF!*12</f>
        <v>#REF!</v>
      </c>
      <c r="J130" s="149" t="e">
        <f>15*#REF!</f>
        <v>#REF!</v>
      </c>
      <c r="K130" s="150" t="e">
        <f t="shared" ref="K130" si="59">J130+I130+H130</f>
        <v>#REF!</v>
      </c>
      <c r="L130" s="191">
        <f t="shared" si="55"/>
        <v>10.618151574364939</v>
      </c>
      <c r="M130" s="191" t="e">
        <f>I130*100/$I$134</f>
        <v>#REF!</v>
      </c>
      <c r="N130" s="191" t="e">
        <f>J130*100/$J$134</f>
        <v>#REF!</v>
      </c>
      <c r="O130" s="197">
        <f>L133</f>
        <v>9.0003462860817738</v>
      </c>
    </row>
    <row r="131" spans="1:17" s="103" customFormat="1" ht="25.5">
      <c r="A131" s="120"/>
      <c r="B131" s="120" t="s">
        <v>200</v>
      </c>
      <c r="C131" s="121" t="s">
        <v>378</v>
      </c>
      <c r="D131" s="122" t="s">
        <v>212</v>
      </c>
      <c r="E131" s="123">
        <v>84.07</v>
      </c>
      <c r="F131" s="124">
        <v>19.260000000000002</v>
      </c>
      <c r="G131" s="124">
        <f t="shared" si="54"/>
        <v>1619.19</v>
      </c>
      <c r="H131" s="149">
        <f t="shared" ref="H131:H199" si="60">G131*3</f>
        <v>4857.57</v>
      </c>
      <c r="I131" s="149" t="e">
        <f>#REF!*12</f>
        <v>#REF!</v>
      </c>
      <c r="J131" s="149" t="e">
        <f>15*#REF!</f>
        <v>#REF!</v>
      </c>
      <c r="K131" s="150" t="e">
        <f t="shared" ref="K131:K178" si="61">J131+I131+H131</f>
        <v>#REF!</v>
      </c>
      <c r="L131" s="191">
        <f t="shared" si="55"/>
        <v>25.03138217616068</v>
      </c>
      <c r="M131" s="191" t="e">
        <f>I131*100/$I$134</f>
        <v>#REF!</v>
      </c>
      <c r="N131" s="191" t="e">
        <f>J131*100/$J$134</f>
        <v>#REF!</v>
      </c>
      <c r="O131" s="197"/>
    </row>
    <row r="132" spans="1:17" s="103" customFormat="1">
      <c r="A132" s="120"/>
      <c r="B132" s="120" t="s">
        <v>201</v>
      </c>
      <c r="C132" s="121" t="s">
        <v>265</v>
      </c>
      <c r="D132" s="122" t="s">
        <v>212</v>
      </c>
      <c r="E132" s="140">
        <v>27.68</v>
      </c>
      <c r="F132" s="124">
        <v>37.92</v>
      </c>
      <c r="G132" s="124">
        <f t="shared" si="54"/>
        <v>1049.6300000000001</v>
      </c>
      <c r="H132" s="149">
        <f t="shared" si="60"/>
        <v>3148.8900000000003</v>
      </c>
      <c r="I132" s="149" t="e">
        <f>#REF!*12</f>
        <v>#REF!</v>
      </c>
      <c r="J132" s="149" t="e">
        <f>15*#REF!</f>
        <v>#REF!</v>
      </c>
      <c r="K132" s="150" t="e">
        <f t="shared" si="61"/>
        <v>#REF!</v>
      </c>
      <c r="L132" s="191">
        <f t="shared" si="55"/>
        <v>16.226440179079379</v>
      </c>
      <c r="M132" s="191" t="e">
        <f>I132*100/$I$134</f>
        <v>#REF!</v>
      </c>
      <c r="N132" s="191" t="e">
        <f>J132*100/$J$134</f>
        <v>#REF!</v>
      </c>
    </row>
    <row r="133" spans="1:17" s="103" customFormat="1">
      <c r="A133" s="120"/>
      <c r="B133" s="120" t="s">
        <v>95</v>
      </c>
      <c r="C133" s="121" t="s">
        <v>266</v>
      </c>
      <c r="D133" s="122" t="s">
        <v>212</v>
      </c>
      <c r="E133" s="123">
        <v>23.9</v>
      </c>
      <c r="F133" s="124">
        <v>24.36</v>
      </c>
      <c r="G133" s="124">
        <f>ROUND(E133*F133,2)</f>
        <v>582.20000000000005</v>
      </c>
      <c r="H133" s="149">
        <f t="shared" si="60"/>
        <v>1746.6000000000001</v>
      </c>
      <c r="I133" s="149" t="e">
        <f>#REF!*12</f>
        <v>#REF!</v>
      </c>
      <c r="J133" s="149" t="e">
        <f>15*#REF!</f>
        <v>#REF!</v>
      </c>
      <c r="K133" s="150" t="e">
        <f t="shared" si="61"/>
        <v>#REF!</v>
      </c>
      <c r="L133" s="191">
        <f t="shared" si="55"/>
        <v>9.0003462860817738</v>
      </c>
      <c r="M133" s="191" t="e">
        <f>I133*100/$I$134</f>
        <v>#REF!</v>
      </c>
      <c r="N133" s="191" t="e">
        <f>J133*100/$J$134</f>
        <v>#REF!</v>
      </c>
    </row>
    <row r="134" spans="1:17">
      <c r="H134" s="152">
        <f>SUM(H123:H133)</f>
        <v>19405.919999999998</v>
      </c>
      <c r="I134" s="152" t="e">
        <f>SUM(I123:I133)</f>
        <v>#REF!</v>
      </c>
      <c r="J134" s="152" t="e">
        <f>SUM(J123:J133)</f>
        <v>#REF!</v>
      </c>
      <c r="K134" s="152" t="e">
        <f>SUM(K123:K133)</f>
        <v>#REF!</v>
      </c>
      <c r="L134" s="191"/>
      <c r="M134" s="191"/>
      <c r="N134" s="191"/>
    </row>
    <row r="135" spans="1:17" s="103" customFormat="1">
      <c r="A135" s="152"/>
      <c r="B135" s="152"/>
      <c r="C135" s="152"/>
      <c r="D135" s="152"/>
      <c r="E135" s="152"/>
      <c r="F135" s="152"/>
      <c r="G135" s="152"/>
      <c r="H135" s="213" t="e">
        <f>H134/$K$134</f>
        <v>#REF!</v>
      </c>
      <c r="I135" s="213" t="e">
        <f t="shared" ref="I135:J135" si="62">I134/$K$134</f>
        <v>#REF!</v>
      </c>
      <c r="J135" s="213" t="e">
        <f t="shared" si="62"/>
        <v>#REF!</v>
      </c>
      <c r="K135" s="198">
        <v>8.9499999999999996E-2</v>
      </c>
      <c r="L135" s="163"/>
      <c r="M135" s="165"/>
      <c r="N135" s="165"/>
    </row>
    <row r="136" spans="1:17" s="103" customFormat="1">
      <c r="A136" s="152"/>
      <c r="B136" s="152"/>
      <c r="C136" s="152"/>
      <c r="D136" s="152"/>
      <c r="E136" s="152"/>
      <c r="F136" s="152"/>
      <c r="G136" s="152"/>
      <c r="H136" s="214" t="e">
        <f>H135*100*$K$135</f>
        <v>#REF!</v>
      </c>
      <c r="I136" s="214" t="e">
        <f t="shared" ref="I136:J136" si="63">I135*100*$K$135</f>
        <v>#REF!</v>
      </c>
      <c r="J136" s="214" t="e">
        <f t="shared" si="63"/>
        <v>#REF!</v>
      </c>
      <c r="K136" s="153"/>
      <c r="L136" s="163"/>
      <c r="M136" s="165"/>
      <c r="N136" s="165"/>
    </row>
    <row r="137" spans="1:17" s="103" customFormat="1">
      <c r="A137" s="152"/>
      <c r="B137" s="152"/>
      <c r="C137" s="152"/>
      <c r="D137" s="152"/>
      <c r="E137" s="152"/>
      <c r="F137" s="152"/>
      <c r="G137" s="152"/>
      <c r="H137" s="152"/>
      <c r="I137" s="152"/>
      <c r="J137" s="152"/>
      <c r="K137" s="153"/>
      <c r="L137" s="163"/>
      <c r="M137" s="165"/>
      <c r="N137" s="165"/>
    </row>
    <row r="138" spans="1:17" s="103" customFormat="1">
      <c r="A138" s="152"/>
      <c r="B138" s="152"/>
      <c r="C138" s="152"/>
      <c r="D138" s="152"/>
      <c r="E138" s="152"/>
      <c r="F138" s="152"/>
      <c r="G138" s="152"/>
      <c r="H138" s="152"/>
      <c r="I138" s="152"/>
      <c r="J138" s="152"/>
      <c r="K138" s="153"/>
      <c r="L138" s="163"/>
      <c r="M138" s="165"/>
      <c r="N138" s="165"/>
    </row>
    <row r="139" spans="1:17" s="103" customFormat="1">
      <c r="A139" s="112">
        <v>6</v>
      </c>
      <c r="B139" s="112"/>
      <c r="C139" s="113" t="s">
        <v>267</v>
      </c>
      <c r="D139" s="114"/>
      <c r="E139" s="134"/>
      <c r="F139" s="115"/>
      <c r="G139" s="115"/>
      <c r="H139" s="151">
        <v>47</v>
      </c>
      <c r="I139" s="151">
        <v>43</v>
      </c>
      <c r="J139" s="151">
        <v>38</v>
      </c>
      <c r="K139" s="151" t="s">
        <v>435</v>
      </c>
      <c r="L139" s="151">
        <v>47</v>
      </c>
      <c r="M139" s="151">
        <v>43</v>
      </c>
      <c r="N139" s="151">
        <v>38</v>
      </c>
      <c r="O139" s="215">
        <v>47</v>
      </c>
      <c r="P139" s="215">
        <v>43</v>
      </c>
      <c r="Q139" s="215">
        <v>38</v>
      </c>
    </row>
    <row r="140" spans="1:17" s="103" customFormat="1">
      <c r="A140" s="116" t="s">
        <v>83</v>
      </c>
      <c r="B140" s="116"/>
      <c r="C140" s="188" t="s">
        <v>254</v>
      </c>
      <c r="D140" s="118"/>
      <c r="E140" s="178"/>
      <c r="F140" s="119"/>
      <c r="G140" s="119"/>
      <c r="H140" s="150"/>
      <c r="L140" s="199" t="s">
        <v>185</v>
      </c>
      <c r="M140" s="199" t="s">
        <v>185</v>
      </c>
      <c r="N140" s="199" t="s">
        <v>185</v>
      </c>
      <c r="O140" s="216" t="s">
        <v>185</v>
      </c>
      <c r="P140" s="216" t="s">
        <v>185</v>
      </c>
      <c r="Q140" s="216" t="s">
        <v>185</v>
      </c>
    </row>
    <row r="141" spans="1:17" s="103" customFormat="1">
      <c r="A141" s="120"/>
      <c r="B141" s="120" t="s">
        <v>92</v>
      </c>
      <c r="C141" s="121" t="s">
        <v>255</v>
      </c>
      <c r="D141" s="122" t="s">
        <v>212</v>
      </c>
      <c r="E141" s="123">
        <v>31.98</v>
      </c>
      <c r="F141" s="124">
        <v>42.9</v>
      </c>
      <c r="G141" s="124">
        <f>ROUND(E141*F141,2)</f>
        <v>1371.94</v>
      </c>
      <c r="H141" s="149">
        <f>G141*3</f>
        <v>4115.82</v>
      </c>
      <c r="I141" s="149" t="e">
        <f>#REF!*12</f>
        <v>#REF!</v>
      </c>
      <c r="J141" s="149" t="e">
        <f>15*#REF!</f>
        <v>#REF!</v>
      </c>
      <c r="K141" s="150" t="e">
        <f>J141+I141+H141</f>
        <v>#REF!</v>
      </c>
      <c r="L141" s="191">
        <f>100*H141/$H$157</f>
        <v>16.790808221491709</v>
      </c>
      <c r="M141" s="191" t="e">
        <f>100*I141/$I$157</f>
        <v>#REF!</v>
      </c>
      <c r="N141" s="191" t="e">
        <f>100*J141/$J$157</f>
        <v>#REF!</v>
      </c>
      <c r="O141" s="165">
        <f t="shared" ref="O141:Q141" si="64">SUM(L144:L146)</f>
        <v>20.290106942054493</v>
      </c>
      <c r="P141" s="165" t="e">
        <f t="shared" si="64"/>
        <v>#REF!</v>
      </c>
      <c r="Q141" s="165" t="e">
        <f t="shared" si="64"/>
        <v>#REF!</v>
      </c>
    </row>
    <row r="142" spans="1:17" s="103" customFormat="1">
      <c r="A142" s="120"/>
      <c r="B142" s="120" t="s">
        <v>93</v>
      </c>
      <c r="C142" s="121" t="s">
        <v>256</v>
      </c>
      <c r="D142" s="122" t="s">
        <v>212</v>
      </c>
      <c r="E142" s="123">
        <v>1.8</v>
      </c>
      <c r="F142" s="124">
        <v>42.9</v>
      </c>
      <c r="G142" s="124">
        <f>ROUND(E142*F142,2)</f>
        <v>77.22</v>
      </c>
      <c r="H142" s="149">
        <f>G142*3</f>
        <v>231.66</v>
      </c>
      <c r="I142" s="149" t="e">
        <f>#REF!*12</f>
        <v>#REF!</v>
      </c>
      <c r="J142" s="149" t="e">
        <f>15*#REF!</f>
        <v>#REF!</v>
      </c>
      <c r="K142" s="150" t="e">
        <f>J142+I142+H142</f>
        <v>#REF!</v>
      </c>
      <c r="L142" s="191">
        <f t="shared" ref="L142:L157" si="65">100*H142/$H$157</f>
        <v>0.94507501119844139</v>
      </c>
      <c r="M142" s="191" t="e">
        <f t="shared" ref="M142:M157" si="66">100*I142/$I$157</f>
        <v>#REF!</v>
      </c>
      <c r="N142" s="191" t="e">
        <f t="shared" ref="N142:N157" si="67">100*J142/$J$157</f>
        <v>#REF!</v>
      </c>
      <c r="O142" s="197">
        <f t="shared" ref="O142:Q143" si="68">L148</f>
        <v>20.463407410308442</v>
      </c>
      <c r="P142" s="197" t="e">
        <f t="shared" si="68"/>
        <v>#REF!</v>
      </c>
      <c r="Q142" s="197" t="e">
        <f t="shared" si="68"/>
        <v>#REF!</v>
      </c>
    </row>
    <row r="143" spans="1:17" s="103" customFormat="1">
      <c r="A143" s="125" t="s">
        <v>18</v>
      </c>
      <c r="B143" s="125"/>
      <c r="C143" s="126" t="s">
        <v>268</v>
      </c>
      <c r="D143" s="127"/>
      <c r="E143" s="100"/>
      <c r="F143" s="128"/>
      <c r="G143" s="128"/>
      <c r="H143" s="149">
        <f t="shared" si="60"/>
        <v>0</v>
      </c>
      <c r="I143" s="149" t="e">
        <f>#REF!*12</f>
        <v>#REF!</v>
      </c>
      <c r="J143" s="149" t="e">
        <f>15*#REF!</f>
        <v>#REF!</v>
      </c>
      <c r="K143" s="150" t="e">
        <f t="shared" si="61"/>
        <v>#REF!</v>
      </c>
      <c r="L143" s="191">
        <f t="shared" si="65"/>
        <v>0</v>
      </c>
      <c r="M143" s="191" t="e">
        <f t="shared" si="66"/>
        <v>#REF!</v>
      </c>
      <c r="N143" s="191" t="e">
        <f t="shared" si="67"/>
        <v>#REF!</v>
      </c>
      <c r="O143" s="197">
        <f t="shared" si="68"/>
        <v>13.088224135272279</v>
      </c>
      <c r="P143" s="197" t="e">
        <f t="shared" si="68"/>
        <v>#REF!</v>
      </c>
      <c r="Q143" s="197" t="e">
        <f t="shared" si="68"/>
        <v>#REF!</v>
      </c>
    </row>
    <row r="144" spans="1:17" s="103" customFormat="1">
      <c r="A144" s="120"/>
      <c r="B144" s="120" t="s">
        <v>19</v>
      </c>
      <c r="C144" s="121" t="s">
        <v>269</v>
      </c>
      <c r="D144" s="122" t="s">
        <v>214</v>
      </c>
      <c r="E144" s="123">
        <v>4.032</v>
      </c>
      <c r="F144" s="124">
        <v>72.400000000000006</v>
      </c>
      <c r="G144" s="124">
        <f>ROUND(E144*F144,2)</f>
        <v>291.92</v>
      </c>
      <c r="H144" s="149">
        <f t="shared" si="60"/>
        <v>875.76</v>
      </c>
      <c r="I144" s="149" t="e">
        <f>#REF!*12</f>
        <v>#REF!</v>
      </c>
      <c r="J144" s="149" t="e">
        <f>15*#REF!</f>
        <v>#REF!</v>
      </c>
      <c r="K144" s="150" t="e">
        <f t="shared" si="61"/>
        <v>#REF!</v>
      </c>
      <c r="L144" s="191">
        <f t="shared" si="65"/>
        <v>3.5727311223653073</v>
      </c>
      <c r="M144" s="191" t="e">
        <f t="shared" si="66"/>
        <v>#REF!</v>
      </c>
      <c r="N144" s="191" t="e">
        <f t="shared" si="67"/>
        <v>#REF!</v>
      </c>
      <c r="O144" s="197">
        <f>L151</f>
        <v>2.4825047302705499</v>
      </c>
      <c r="P144" s="197" t="e">
        <f>M151</f>
        <v>#REF!</v>
      </c>
      <c r="Q144" s="197" t="e">
        <f>N151</f>
        <v>#REF!</v>
      </c>
    </row>
    <row r="145" spans="1:17" s="103" customFormat="1" ht="25.5">
      <c r="A145" s="120"/>
      <c r="B145" s="120" t="s">
        <v>20</v>
      </c>
      <c r="C145" s="121" t="s">
        <v>363</v>
      </c>
      <c r="D145" s="122" t="s">
        <v>212</v>
      </c>
      <c r="E145" s="123">
        <v>41.79</v>
      </c>
      <c r="F145" s="124">
        <v>17.43</v>
      </c>
      <c r="G145" s="124">
        <f>ROUND(E145*F145,2)</f>
        <v>728.4</v>
      </c>
      <c r="H145" s="149">
        <f t="shared" si="60"/>
        <v>2185.1999999999998</v>
      </c>
      <c r="I145" s="149" t="e">
        <f>#REF!*12</f>
        <v>#REF!</v>
      </c>
      <c r="J145" s="149" t="e">
        <f>15*#REF!</f>
        <v>#REF!</v>
      </c>
      <c r="K145" s="150" t="e">
        <f t="shared" si="61"/>
        <v>#REF!</v>
      </c>
      <c r="L145" s="191">
        <f t="shared" si="65"/>
        <v>8.9146935788260127</v>
      </c>
      <c r="M145" s="191" t="e">
        <f t="shared" si="66"/>
        <v>#REF!</v>
      </c>
      <c r="N145" s="191" t="e">
        <f t="shared" si="67"/>
        <v>#REF!</v>
      </c>
      <c r="O145" s="165">
        <f>SUM(L152:L153)</f>
        <v>1.5273939574924302</v>
      </c>
      <c r="P145" s="165" t="e">
        <f>SUM(M152:M153)</f>
        <v>#REF!</v>
      </c>
      <c r="Q145" s="165" t="e">
        <f>SUM(N152:N153)</f>
        <v>#REF!</v>
      </c>
    </row>
    <row r="146" spans="1:17" s="103" customFormat="1" ht="38.25">
      <c r="A146" s="120"/>
      <c r="B146" s="120" t="s">
        <v>21</v>
      </c>
      <c r="C146" s="121" t="s">
        <v>270</v>
      </c>
      <c r="D146" s="122" t="s">
        <v>214</v>
      </c>
      <c r="E146" s="123">
        <v>1.9430000000000001</v>
      </c>
      <c r="F146" s="124">
        <v>328.12</v>
      </c>
      <c r="G146" s="124">
        <f>ROUND(E146*F146,2)</f>
        <v>637.54</v>
      </c>
      <c r="H146" s="149">
        <f t="shared" si="60"/>
        <v>1912.62</v>
      </c>
      <c r="I146" s="149" t="e">
        <f>#REF!*12</f>
        <v>#REF!</v>
      </c>
      <c r="J146" s="149" t="e">
        <f>15*#REF!</f>
        <v>#REF!</v>
      </c>
      <c r="K146" s="150" t="e">
        <f t="shared" si="61"/>
        <v>#REF!</v>
      </c>
      <c r="L146" s="191">
        <f t="shared" si="65"/>
        <v>7.8026822408631746</v>
      </c>
      <c r="M146" s="191" t="e">
        <f t="shared" si="66"/>
        <v>#REF!</v>
      </c>
      <c r="N146" s="191" t="e">
        <f t="shared" si="67"/>
        <v>#REF!</v>
      </c>
      <c r="O146" s="197">
        <f>L154</f>
        <v>7.6295041599455633</v>
      </c>
      <c r="P146" s="197" t="e">
        <f>M154</f>
        <v>#REF!</v>
      </c>
      <c r="Q146" s="197" t="e">
        <f>N154</f>
        <v>#REF!</v>
      </c>
    </row>
    <row r="147" spans="1:17" s="103" customFormat="1">
      <c r="A147" s="125" t="s">
        <v>22</v>
      </c>
      <c r="B147" s="125"/>
      <c r="C147" s="126" t="s">
        <v>271</v>
      </c>
      <c r="D147" s="127"/>
      <c r="E147" s="100"/>
      <c r="F147" s="128"/>
      <c r="G147" s="128"/>
      <c r="H147" s="149">
        <f t="shared" si="60"/>
        <v>0</v>
      </c>
      <c r="I147" s="149" t="e">
        <f>#REF!*12</f>
        <v>#REF!</v>
      </c>
      <c r="J147" s="149" t="e">
        <f>15*#REF!</f>
        <v>#REF!</v>
      </c>
      <c r="K147" s="150" t="e">
        <f t="shared" si="61"/>
        <v>#REF!</v>
      </c>
      <c r="L147" s="191">
        <f t="shared" si="65"/>
        <v>0</v>
      </c>
      <c r="M147" s="191" t="e">
        <f t="shared" si="66"/>
        <v>#REF!</v>
      </c>
      <c r="N147" s="191" t="e">
        <f t="shared" si="67"/>
        <v>#REF!</v>
      </c>
      <c r="O147" s="197">
        <f t="shared" ref="O147:Q148" si="69">L141</f>
        <v>16.790808221491709</v>
      </c>
      <c r="P147" s="197" t="e">
        <f t="shared" si="69"/>
        <v>#REF!</v>
      </c>
      <c r="Q147" s="197" t="e">
        <f t="shared" si="69"/>
        <v>#REF!</v>
      </c>
    </row>
    <row r="148" spans="1:17" s="103" customFormat="1" ht="25.5">
      <c r="A148" s="120"/>
      <c r="B148" s="120" t="s">
        <v>23</v>
      </c>
      <c r="C148" s="121" t="s">
        <v>272</v>
      </c>
      <c r="D148" s="122" t="s">
        <v>212</v>
      </c>
      <c r="E148" s="123">
        <v>41.79</v>
      </c>
      <c r="F148" s="124">
        <v>40.01</v>
      </c>
      <c r="G148" s="124">
        <f>ROUND(E148*F148,2)</f>
        <v>1672.02</v>
      </c>
      <c r="H148" s="149">
        <f t="shared" si="60"/>
        <v>5016.0599999999995</v>
      </c>
      <c r="I148" s="149" t="e">
        <f>#REF!*12</f>
        <v>#REF!</v>
      </c>
      <c r="J148" s="149" t="e">
        <f>15*#REF!</f>
        <v>#REF!</v>
      </c>
      <c r="K148" s="150" t="e">
        <f t="shared" si="61"/>
        <v>#REF!</v>
      </c>
      <c r="L148" s="191">
        <f t="shared" si="65"/>
        <v>20.463407410308442</v>
      </c>
      <c r="M148" s="191" t="e">
        <f t="shared" si="66"/>
        <v>#REF!</v>
      </c>
      <c r="N148" s="191" t="e">
        <f t="shared" si="67"/>
        <v>#REF!</v>
      </c>
      <c r="O148" s="197">
        <f t="shared" si="69"/>
        <v>0.94507501119844139</v>
      </c>
      <c r="P148" s="197" t="e">
        <f t="shared" si="69"/>
        <v>#REF!</v>
      </c>
      <c r="Q148" s="197" t="e">
        <f t="shared" si="69"/>
        <v>#REF!</v>
      </c>
    </row>
    <row r="149" spans="1:17" s="103" customFormat="1" ht="38.25">
      <c r="A149" s="120"/>
      <c r="B149" s="120" t="s">
        <v>24</v>
      </c>
      <c r="C149" s="121" t="s">
        <v>364</v>
      </c>
      <c r="D149" s="122" t="s">
        <v>212</v>
      </c>
      <c r="E149" s="123">
        <v>41.79</v>
      </c>
      <c r="F149" s="124">
        <v>25.59</v>
      </c>
      <c r="G149" s="124">
        <f>ROUND(E149*F149,2)</f>
        <v>1069.4100000000001</v>
      </c>
      <c r="H149" s="149">
        <f t="shared" si="60"/>
        <v>3208.2300000000005</v>
      </c>
      <c r="I149" s="149" t="e">
        <f>#REF!*12</f>
        <v>#REF!</v>
      </c>
      <c r="J149" s="149" t="e">
        <f>15*#REF!</f>
        <v>#REF!</v>
      </c>
      <c r="K149" s="150" t="e">
        <f t="shared" si="61"/>
        <v>#REF!</v>
      </c>
      <c r="L149" s="191">
        <f t="shared" si="65"/>
        <v>13.088224135272279</v>
      </c>
      <c r="M149" s="191" t="e">
        <f t="shared" si="66"/>
        <v>#REF!</v>
      </c>
      <c r="N149" s="191" t="e">
        <f t="shared" si="67"/>
        <v>#REF!</v>
      </c>
      <c r="O149" s="197">
        <f t="shared" ref="O149:Q150" si="70">L155</f>
        <v>5.5943251439887032</v>
      </c>
      <c r="P149" s="197" t="e">
        <f t="shared" si="70"/>
        <v>#REF!</v>
      </c>
      <c r="Q149" s="197" t="e">
        <f t="shared" si="70"/>
        <v>#REF!</v>
      </c>
    </row>
    <row r="150" spans="1:17" s="103" customFormat="1">
      <c r="A150" s="125" t="s">
        <v>25</v>
      </c>
      <c r="B150" s="125"/>
      <c r="C150" s="126" t="s">
        <v>273</v>
      </c>
      <c r="D150" s="127"/>
      <c r="E150" s="100"/>
      <c r="F150" s="128"/>
      <c r="G150" s="128"/>
      <c r="H150" s="149">
        <f t="shared" si="60"/>
        <v>0</v>
      </c>
      <c r="I150" s="149" t="e">
        <f>#REF!*12</f>
        <v>#REF!</v>
      </c>
      <c r="J150" s="149" t="e">
        <f>15*#REF!</f>
        <v>#REF!</v>
      </c>
      <c r="K150" s="150" t="e">
        <f t="shared" si="61"/>
        <v>#REF!</v>
      </c>
      <c r="L150" s="191">
        <f t="shared" si="65"/>
        <v>0</v>
      </c>
      <c r="M150" s="191" t="e">
        <f t="shared" si="66"/>
        <v>#REF!</v>
      </c>
      <c r="N150" s="191" t="e">
        <f t="shared" si="67"/>
        <v>#REF!</v>
      </c>
      <c r="O150" s="197">
        <f t="shared" si="70"/>
        <v>11.188650287977406</v>
      </c>
      <c r="P150" s="197" t="e">
        <f t="shared" si="70"/>
        <v>#REF!</v>
      </c>
      <c r="Q150" s="197" t="e">
        <f t="shared" si="70"/>
        <v>#REF!</v>
      </c>
    </row>
    <row r="151" spans="1:17" s="103" customFormat="1" ht="25.5">
      <c r="A151" s="120"/>
      <c r="B151" s="120" t="s">
        <v>26</v>
      </c>
      <c r="C151" s="121" t="s">
        <v>274</v>
      </c>
      <c r="D151" s="122" t="s">
        <v>218</v>
      </c>
      <c r="E151" s="123">
        <v>53.1</v>
      </c>
      <c r="F151" s="124">
        <v>3.82</v>
      </c>
      <c r="G151" s="124">
        <f t="shared" ref="G151:G156" si="71">ROUND(E151*F151,2)</f>
        <v>202.84</v>
      </c>
      <c r="H151" s="149">
        <f t="shared" si="60"/>
        <v>608.52</v>
      </c>
      <c r="I151" s="149" t="e">
        <f>#REF!*12</f>
        <v>#REF!</v>
      </c>
      <c r="J151" s="149" t="e">
        <f>15*#REF!</f>
        <v>#REF!</v>
      </c>
      <c r="K151" s="150" t="e">
        <f t="shared" si="61"/>
        <v>#REF!</v>
      </c>
      <c r="L151" s="191">
        <f t="shared" si="65"/>
        <v>2.4825047302705499</v>
      </c>
      <c r="M151" s="191" t="e">
        <f t="shared" si="66"/>
        <v>#REF!</v>
      </c>
      <c r="N151" s="191" t="e">
        <f t="shared" si="67"/>
        <v>#REF!</v>
      </c>
    </row>
    <row r="152" spans="1:17" s="103" customFormat="1">
      <c r="A152" s="120"/>
      <c r="B152" s="120" t="s">
        <v>27</v>
      </c>
      <c r="C152" s="121" t="s">
        <v>275</v>
      </c>
      <c r="D152" s="122" t="s">
        <v>212</v>
      </c>
      <c r="E152" s="123">
        <v>0.34</v>
      </c>
      <c r="F152" s="124">
        <v>41.77</v>
      </c>
      <c r="G152" s="124">
        <f t="shared" si="71"/>
        <v>14.2</v>
      </c>
      <c r="H152" s="149">
        <f t="shared" si="60"/>
        <v>42.599999999999994</v>
      </c>
      <c r="I152" s="149" t="e">
        <f>#REF!*12</f>
        <v>#REF!</v>
      </c>
      <c r="J152" s="149" t="e">
        <f>15*#REF!</f>
        <v>#REF!</v>
      </c>
      <c r="K152" s="150" t="e">
        <f t="shared" si="61"/>
        <v>#REF!</v>
      </c>
      <c r="L152" s="191">
        <f t="shared" si="65"/>
        <v>0.17379001759929896</v>
      </c>
      <c r="M152" s="191" t="e">
        <f t="shared" si="66"/>
        <v>#REF!</v>
      </c>
      <c r="N152" s="191" t="e">
        <f t="shared" si="67"/>
        <v>#REF!</v>
      </c>
    </row>
    <row r="153" spans="1:17" s="103" customFormat="1">
      <c r="A153" s="120"/>
      <c r="B153" s="120" t="s">
        <v>28</v>
      </c>
      <c r="C153" s="121" t="s">
        <v>276</v>
      </c>
      <c r="D153" s="122" t="s">
        <v>218</v>
      </c>
      <c r="E153" s="123">
        <v>1.64</v>
      </c>
      <c r="F153" s="124">
        <v>67.44</v>
      </c>
      <c r="G153" s="124">
        <f t="shared" si="71"/>
        <v>110.6</v>
      </c>
      <c r="H153" s="149">
        <f t="shared" si="60"/>
        <v>331.79999999999995</v>
      </c>
      <c r="I153" s="149" t="e">
        <f>#REF!*12</f>
        <v>#REF!</v>
      </c>
      <c r="J153" s="149" t="e">
        <f>15*#REF!</f>
        <v>#REF!</v>
      </c>
      <c r="K153" s="150" t="e">
        <f t="shared" si="61"/>
        <v>#REF!</v>
      </c>
      <c r="L153" s="191">
        <f t="shared" si="65"/>
        <v>1.3536039398931312</v>
      </c>
      <c r="M153" s="191" t="e">
        <f t="shared" si="66"/>
        <v>#REF!</v>
      </c>
      <c r="N153" s="191" t="e">
        <f t="shared" si="67"/>
        <v>#REF!</v>
      </c>
    </row>
    <row r="154" spans="1:17" s="103" customFormat="1" ht="25.5">
      <c r="A154" s="120"/>
      <c r="B154" s="120" t="s">
        <v>96</v>
      </c>
      <c r="C154" s="121" t="s">
        <v>277</v>
      </c>
      <c r="D154" s="122" t="s">
        <v>218</v>
      </c>
      <c r="E154" s="123">
        <v>7.7</v>
      </c>
      <c r="F154" s="124">
        <v>80.959999999999994</v>
      </c>
      <c r="G154" s="124">
        <f t="shared" si="71"/>
        <v>623.39</v>
      </c>
      <c r="H154" s="149">
        <f t="shared" si="60"/>
        <v>1870.17</v>
      </c>
      <c r="I154" s="149" t="e">
        <f>#REF!*12</f>
        <v>#REF!</v>
      </c>
      <c r="J154" s="149" t="e">
        <f>15*#REF!</f>
        <v>#REF!</v>
      </c>
      <c r="K154" s="150" t="e">
        <f t="shared" si="61"/>
        <v>#REF!</v>
      </c>
      <c r="L154" s="191">
        <f t="shared" si="65"/>
        <v>7.6295041599455633</v>
      </c>
      <c r="M154" s="191" t="e">
        <f t="shared" si="66"/>
        <v>#REF!</v>
      </c>
      <c r="N154" s="191" t="e">
        <f t="shared" si="67"/>
        <v>#REF!</v>
      </c>
    </row>
    <row r="155" spans="1:17" s="103" customFormat="1">
      <c r="A155" s="120"/>
      <c r="B155" s="120"/>
      <c r="C155" s="167" t="s">
        <v>401</v>
      </c>
      <c r="D155" s="122" t="s">
        <v>235</v>
      </c>
      <c r="E155" s="123">
        <v>1</v>
      </c>
      <c r="F155" s="124">
        <v>457.1</v>
      </c>
      <c r="G155" s="124">
        <f t="shared" si="71"/>
        <v>457.1</v>
      </c>
      <c r="H155" s="149">
        <f t="shared" ref="H155" si="72">G155*3</f>
        <v>1371.3000000000002</v>
      </c>
      <c r="I155" s="149" t="e">
        <f>#REF!*12</f>
        <v>#REF!</v>
      </c>
      <c r="J155" s="149" t="e">
        <f>15*#REF!</f>
        <v>#REF!</v>
      </c>
      <c r="K155" s="150" t="e">
        <f t="shared" ref="K155:K156" si="73">J155+I155+H155</f>
        <v>#REF!</v>
      </c>
      <c r="L155" s="191">
        <f t="shared" si="65"/>
        <v>5.5943251439887032</v>
      </c>
      <c r="M155" s="191" t="e">
        <f t="shared" si="66"/>
        <v>#REF!</v>
      </c>
      <c r="N155" s="191" t="e">
        <f t="shared" si="67"/>
        <v>#REF!</v>
      </c>
    </row>
    <row r="156" spans="1:17" s="103" customFormat="1">
      <c r="A156" s="120"/>
      <c r="B156" s="120"/>
      <c r="C156" s="167" t="s">
        <v>402</v>
      </c>
      <c r="D156" s="122" t="s">
        <v>235</v>
      </c>
      <c r="E156" s="123">
        <v>1</v>
      </c>
      <c r="F156" s="124">
        <v>914.2</v>
      </c>
      <c r="G156" s="124">
        <f t="shared" si="71"/>
        <v>914.2</v>
      </c>
      <c r="H156" s="149">
        <f>G156*3</f>
        <v>2742.6000000000004</v>
      </c>
      <c r="I156" s="149" t="e">
        <f>#REF!*12</f>
        <v>#REF!</v>
      </c>
      <c r="J156" s="149" t="e">
        <f>15*#REF!</f>
        <v>#REF!</v>
      </c>
      <c r="K156" s="150" t="e">
        <f t="shared" si="73"/>
        <v>#REF!</v>
      </c>
      <c r="L156" s="191">
        <f t="shared" si="65"/>
        <v>11.188650287977406</v>
      </c>
      <c r="M156" s="191" t="e">
        <f t="shared" si="66"/>
        <v>#REF!</v>
      </c>
      <c r="N156" s="191" t="e">
        <f t="shared" si="67"/>
        <v>#REF!</v>
      </c>
    </row>
    <row r="157" spans="1:17" s="103" customFormat="1">
      <c r="A157" s="149"/>
      <c r="B157" s="149"/>
      <c r="C157" s="149"/>
      <c r="D157" s="149"/>
      <c r="E157" s="149"/>
      <c r="F157" s="149"/>
      <c r="G157" s="149"/>
      <c r="H157" s="153">
        <f t="shared" ref="H157:J157" si="74">SUM(H141:H156)</f>
        <v>24512.339999999997</v>
      </c>
      <c r="I157" s="153" t="e">
        <f t="shared" si="74"/>
        <v>#REF!</v>
      </c>
      <c r="J157" s="153" t="e">
        <f t="shared" si="74"/>
        <v>#REF!</v>
      </c>
      <c r="K157" s="153" t="e">
        <f>SUM(K141:K156)</f>
        <v>#REF!</v>
      </c>
      <c r="L157" s="191">
        <f t="shared" si="65"/>
        <v>100</v>
      </c>
      <c r="M157" s="191" t="e">
        <f t="shared" si="66"/>
        <v>#REF!</v>
      </c>
      <c r="N157" s="191" t="e">
        <f t="shared" si="67"/>
        <v>#REF!</v>
      </c>
    </row>
    <row r="158" spans="1:17" s="103" customFormat="1">
      <c r="A158" s="179"/>
      <c r="B158" s="149"/>
      <c r="C158" s="149"/>
      <c r="D158" s="149"/>
      <c r="E158" s="149"/>
      <c r="F158" s="149"/>
      <c r="G158" s="149"/>
      <c r="H158" s="213" t="e">
        <f>H157/$K$157</f>
        <v>#REF!</v>
      </c>
      <c r="I158" s="213" t="e">
        <f t="shared" ref="I158:J158" si="75">I157/$K$157</f>
        <v>#REF!</v>
      </c>
      <c r="J158" s="213" t="e">
        <f t="shared" si="75"/>
        <v>#REF!</v>
      </c>
      <c r="K158" s="198">
        <v>0.1119</v>
      </c>
      <c r="L158" s="191"/>
      <c r="M158" s="191"/>
      <c r="N158" s="191"/>
    </row>
    <row r="159" spans="1:17" s="103" customFormat="1">
      <c r="A159" s="179"/>
      <c r="B159" s="149"/>
      <c r="C159" s="149"/>
      <c r="D159" s="149"/>
      <c r="E159" s="149"/>
      <c r="F159" s="149"/>
      <c r="G159" s="149"/>
      <c r="H159" s="214" t="e">
        <f>H158*100*$K$158</f>
        <v>#REF!</v>
      </c>
      <c r="I159" s="214" t="e">
        <f t="shared" ref="I159:J159" si="76">I158*100*$K$158</f>
        <v>#REF!</v>
      </c>
      <c r="J159" s="214" t="e">
        <f t="shared" si="76"/>
        <v>#REF!</v>
      </c>
      <c r="K159" s="150"/>
      <c r="L159" s="162"/>
      <c r="M159" s="165"/>
      <c r="N159" s="165"/>
    </row>
    <row r="160" spans="1:17" s="103" customFormat="1">
      <c r="A160" s="179"/>
      <c r="B160" s="149"/>
      <c r="C160" s="149"/>
      <c r="D160" s="149"/>
      <c r="E160" s="149"/>
      <c r="F160" s="149"/>
      <c r="G160" s="149"/>
      <c r="H160" s="149"/>
      <c r="I160" s="149"/>
      <c r="J160" s="149"/>
      <c r="K160" s="150"/>
      <c r="L160" s="162"/>
      <c r="M160" s="165"/>
      <c r="N160" s="165"/>
    </row>
    <row r="161" spans="1:17" s="103" customFormat="1">
      <c r="A161" s="149"/>
      <c r="B161" s="149"/>
      <c r="C161" s="149"/>
      <c r="D161" s="149"/>
      <c r="E161" s="149"/>
      <c r="F161" s="149"/>
      <c r="G161" s="149"/>
      <c r="H161" s="149"/>
      <c r="I161" s="149"/>
      <c r="J161" s="149"/>
      <c r="K161" s="150"/>
      <c r="L161" s="162"/>
      <c r="M161" s="165"/>
      <c r="N161" s="165"/>
    </row>
    <row r="162" spans="1:17" s="103" customFormat="1">
      <c r="A162" s="149"/>
      <c r="B162" s="149"/>
      <c r="C162" s="149"/>
      <c r="D162" s="149"/>
      <c r="E162" s="149"/>
      <c r="F162" s="149"/>
      <c r="G162" s="149"/>
      <c r="H162" s="149"/>
      <c r="I162" s="149"/>
      <c r="J162" s="149"/>
      <c r="K162" s="150"/>
      <c r="L162" s="162"/>
      <c r="M162" s="165"/>
      <c r="N162" s="165"/>
    </row>
    <row r="163" spans="1:17" s="103" customFormat="1">
      <c r="A163" s="112">
        <v>7</v>
      </c>
      <c r="B163" s="112"/>
      <c r="C163" s="113" t="s">
        <v>278</v>
      </c>
      <c r="D163" s="114"/>
      <c r="E163" s="134"/>
      <c r="F163" s="115"/>
      <c r="G163" s="115"/>
      <c r="H163" s="149"/>
      <c r="I163" s="149"/>
      <c r="J163" s="149"/>
      <c r="K163" s="150"/>
      <c r="L163" s="162"/>
      <c r="M163" s="165"/>
      <c r="N163" s="165"/>
    </row>
    <row r="164" spans="1:17" s="103" customFormat="1">
      <c r="A164" s="125" t="s">
        <v>29</v>
      </c>
      <c r="B164" s="125"/>
      <c r="C164" s="126" t="s">
        <v>279</v>
      </c>
      <c r="D164" s="127"/>
      <c r="E164" s="100"/>
      <c r="F164" s="128"/>
      <c r="G164" s="128"/>
      <c r="H164" s="151">
        <v>47</v>
      </c>
      <c r="I164" s="151">
        <v>43</v>
      </c>
      <c r="J164" s="151">
        <v>38</v>
      </c>
      <c r="K164" s="151" t="s">
        <v>435</v>
      </c>
      <c r="L164" s="151">
        <v>47</v>
      </c>
      <c r="M164" s="151">
        <v>43</v>
      </c>
      <c r="N164" s="151">
        <v>38</v>
      </c>
      <c r="O164" s="215">
        <v>47</v>
      </c>
      <c r="P164" s="215">
        <v>43</v>
      </c>
      <c r="Q164" s="215">
        <v>38</v>
      </c>
    </row>
    <row r="165" spans="1:17" s="103" customFormat="1">
      <c r="A165" s="135" t="s">
        <v>30</v>
      </c>
      <c r="B165" s="135"/>
      <c r="C165" s="136" t="s">
        <v>280</v>
      </c>
      <c r="D165" s="137"/>
      <c r="E165" s="138"/>
      <c r="F165" s="139"/>
      <c r="G165" s="139"/>
      <c r="H165" s="150"/>
      <c r="L165" s="199" t="s">
        <v>185</v>
      </c>
      <c r="M165" s="199" t="s">
        <v>185</v>
      </c>
      <c r="N165" s="199" t="s">
        <v>185</v>
      </c>
      <c r="O165" s="216" t="s">
        <v>185</v>
      </c>
      <c r="P165" s="216" t="s">
        <v>185</v>
      </c>
      <c r="Q165" s="216" t="s">
        <v>185</v>
      </c>
    </row>
    <row r="166" spans="1:17" s="103" customFormat="1" ht="38.25">
      <c r="A166" s="120"/>
      <c r="B166" s="120" t="s">
        <v>103</v>
      </c>
      <c r="C166" s="121" t="s">
        <v>286</v>
      </c>
      <c r="D166" s="122" t="s">
        <v>235</v>
      </c>
      <c r="E166" s="123">
        <v>1</v>
      </c>
      <c r="F166" s="124">
        <v>222.87</v>
      </c>
      <c r="G166" s="124">
        <f t="shared" ref="G166" si="77">ROUND(E166*F166,2)</f>
        <v>222.87</v>
      </c>
      <c r="H166" s="149">
        <f t="shared" si="60"/>
        <v>668.61</v>
      </c>
      <c r="I166" s="149" t="e">
        <f>#REF!*12</f>
        <v>#REF!</v>
      </c>
      <c r="J166" s="149" t="e">
        <f>15*#REF!</f>
        <v>#REF!</v>
      </c>
      <c r="K166" s="150" t="e">
        <f t="shared" si="61"/>
        <v>#REF!</v>
      </c>
      <c r="L166" s="165">
        <f t="shared" ref="L166:L209" si="78">H166*100/$H$209</f>
        <v>8.9308040007693776</v>
      </c>
      <c r="M166" s="165" t="e">
        <f>I166*100/$I$209</f>
        <v>#REF!</v>
      </c>
      <c r="N166" s="165" t="e">
        <f>J166*100/$J$209</f>
        <v>#REF!</v>
      </c>
      <c r="O166" s="165">
        <f t="shared" ref="O166:P166" si="79">SUM(L168:L178)</f>
        <v>49.768785663909718</v>
      </c>
      <c r="P166" s="165" t="e">
        <f t="shared" si="79"/>
        <v>#REF!</v>
      </c>
      <c r="Q166" s="165" t="e">
        <f>SUM(N168:N178)</f>
        <v>#REF!</v>
      </c>
    </row>
    <row r="167" spans="1:17" s="103" customFormat="1">
      <c r="A167" s="125" t="s">
        <v>31</v>
      </c>
      <c r="B167" s="125"/>
      <c r="C167" s="126" t="s">
        <v>287</v>
      </c>
      <c r="D167" s="127"/>
      <c r="E167" s="100"/>
      <c r="F167" s="128"/>
      <c r="G167" s="128"/>
      <c r="H167" s="149">
        <f t="shared" si="60"/>
        <v>0</v>
      </c>
      <c r="I167" s="149" t="e">
        <f>#REF!*12</f>
        <v>#REF!</v>
      </c>
      <c r="J167" s="149" t="e">
        <f>15*#REF!</f>
        <v>#REF!</v>
      </c>
      <c r="K167" s="150" t="e">
        <f t="shared" si="61"/>
        <v>#REF!</v>
      </c>
      <c r="L167" s="165">
        <f t="shared" si="78"/>
        <v>0</v>
      </c>
      <c r="M167" s="165" t="e">
        <f t="shared" ref="M167:M209" si="80">I167*100/$I$209</f>
        <v>#REF!</v>
      </c>
      <c r="N167" s="165" t="e">
        <f t="shared" ref="N167:N209" si="81">J167*100/$J$209</f>
        <v>#REF!</v>
      </c>
      <c r="O167" s="165">
        <f t="shared" ref="O167:P167" si="82">L166</f>
        <v>8.9308040007693776</v>
      </c>
      <c r="P167" s="165" t="e">
        <f t="shared" si="82"/>
        <v>#REF!</v>
      </c>
      <c r="Q167" s="165" t="e">
        <f>N166</f>
        <v>#REF!</v>
      </c>
    </row>
    <row r="168" spans="1:17" s="103" customFormat="1" ht="25.5">
      <c r="A168" s="141"/>
      <c r="B168" s="141" t="s">
        <v>104</v>
      </c>
      <c r="C168" s="142" t="s">
        <v>288</v>
      </c>
      <c r="D168" s="143" t="s">
        <v>218</v>
      </c>
      <c r="E168" s="144">
        <v>98</v>
      </c>
      <c r="F168" s="145">
        <v>1.74</v>
      </c>
      <c r="G168" s="145">
        <f t="shared" ref="G168:G178" si="83">ROUND(E168*F168,2)</f>
        <v>170.52</v>
      </c>
      <c r="H168" s="149">
        <f t="shared" si="60"/>
        <v>511.56000000000006</v>
      </c>
      <c r="I168" s="149" t="e">
        <f>#REF!*12</f>
        <v>#REF!</v>
      </c>
      <c r="J168" s="149" t="e">
        <f>15*#REF!</f>
        <v>#REF!</v>
      </c>
      <c r="K168" s="150" t="e">
        <f t="shared" si="61"/>
        <v>#REF!</v>
      </c>
      <c r="L168" s="165">
        <f t="shared" si="78"/>
        <v>6.8330448163108288</v>
      </c>
      <c r="M168" s="165" t="e">
        <f t="shared" si="80"/>
        <v>#REF!</v>
      </c>
      <c r="N168" s="165" t="e">
        <f t="shared" si="81"/>
        <v>#REF!</v>
      </c>
      <c r="O168" s="165">
        <f>SUM(L180:L189)</f>
        <v>21.090193626979538</v>
      </c>
      <c r="P168" s="165" t="e">
        <f t="shared" ref="P168:Q168" si="84">SUM(M180:M189)</f>
        <v>#REF!</v>
      </c>
      <c r="Q168" s="165" t="e">
        <f t="shared" si="84"/>
        <v>#REF!</v>
      </c>
    </row>
    <row r="169" spans="1:17" s="103" customFormat="1" ht="25.5">
      <c r="A169" s="120"/>
      <c r="B169" s="141" t="s">
        <v>106</v>
      </c>
      <c r="C169" s="142" t="s">
        <v>290</v>
      </c>
      <c r="D169" s="122" t="s">
        <v>218</v>
      </c>
      <c r="E169" s="123">
        <v>132</v>
      </c>
      <c r="F169" s="124">
        <v>2.0299999999999998</v>
      </c>
      <c r="G169" s="124">
        <f>ROUND(E169*F169,2)</f>
        <v>267.95999999999998</v>
      </c>
      <c r="H169" s="149">
        <f t="shared" si="60"/>
        <v>803.87999999999988</v>
      </c>
      <c r="I169" s="149" t="e">
        <f>#REF!*12</f>
        <v>#REF!</v>
      </c>
      <c r="J169" s="149" t="e">
        <f>15*#REF!</f>
        <v>#REF!</v>
      </c>
      <c r="K169" s="150" t="e">
        <f t="shared" si="61"/>
        <v>#REF!</v>
      </c>
      <c r="L169" s="165">
        <f t="shared" si="78"/>
        <v>10.737641854202728</v>
      </c>
      <c r="M169" s="165" t="e">
        <f t="shared" si="80"/>
        <v>#REF!</v>
      </c>
      <c r="N169" s="165" t="e">
        <f t="shared" si="81"/>
        <v>#REF!</v>
      </c>
      <c r="O169" s="165">
        <f>SUM(L191:L201)</f>
        <v>15.097855356799384</v>
      </c>
      <c r="P169" s="165" t="e">
        <f t="shared" ref="P169:Q169" si="85">SUM(M191:M201)</f>
        <v>#REF!</v>
      </c>
      <c r="Q169" s="165" t="e">
        <f t="shared" si="85"/>
        <v>#REF!</v>
      </c>
    </row>
    <row r="170" spans="1:17" s="103" customFormat="1" ht="25.5">
      <c r="A170" s="120"/>
      <c r="B170" s="120" t="s">
        <v>107</v>
      </c>
      <c r="C170" s="142" t="s">
        <v>291</v>
      </c>
      <c r="D170" s="122" t="s">
        <v>218</v>
      </c>
      <c r="E170" s="123">
        <v>90</v>
      </c>
      <c r="F170" s="124">
        <v>3.16</v>
      </c>
      <c r="G170" s="124">
        <f>ROUND(E170*F170,2)</f>
        <v>284.39999999999998</v>
      </c>
      <c r="H170" s="149">
        <f t="shared" si="60"/>
        <v>853.19999999999993</v>
      </c>
      <c r="I170" s="149" t="e">
        <f>#REF!*12</f>
        <v>#REF!</v>
      </c>
      <c r="J170" s="149" t="e">
        <f>15*#REF!</f>
        <v>#REF!</v>
      </c>
      <c r="K170" s="150" t="e">
        <f t="shared" si="61"/>
        <v>#REF!</v>
      </c>
      <c r="L170" s="165">
        <f t="shared" si="78"/>
        <v>11.396422388920945</v>
      </c>
      <c r="M170" s="165" t="e">
        <f t="shared" si="80"/>
        <v>#REF!</v>
      </c>
      <c r="N170" s="165" t="e">
        <f t="shared" si="81"/>
        <v>#REF!</v>
      </c>
      <c r="O170" s="165">
        <f>SUM(L203:L208)</f>
        <v>5.1123613515419626</v>
      </c>
      <c r="P170" s="165" t="e">
        <f t="shared" ref="P170:Q170" si="86">SUM(M203:M208)</f>
        <v>#REF!</v>
      </c>
      <c r="Q170" s="165" t="e">
        <f t="shared" si="86"/>
        <v>#REF!</v>
      </c>
    </row>
    <row r="171" spans="1:17" s="103" customFormat="1" ht="25.5">
      <c r="A171" s="120"/>
      <c r="B171" s="141" t="s">
        <v>108</v>
      </c>
      <c r="C171" s="142" t="s">
        <v>292</v>
      </c>
      <c r="D171" s="122" t="s">
        <v>218</v>
      </c>
      <c r="E171" s="123">
        <v>15</v>
      </c>
      <c r="F171" s="124">
        <v>4.29</v>
      </c>
      <c r="G171" s="124">
        <f>ROUND(E171*F171,2)</f>
        <v>64.349999999999994</v>
      </c>
      <c r="H171" s="149">
        <f t="shared" si="60"/>
        <v>193.04999999999998</v>
      </c>
      <c r="I171" s="149" t="e">
        <f>#REF!*12</f>
        <v>#REF!</v>
      </c>
      <c r="J171" s="149" t="e">
        <f>15*#REF!</f>
        <v>#REF!</v>
      </c>
      <c r="K171" s="150" t="e">
        <f t="shared" si="61"/>
        <v>#REF!</v>
      </c>
      <c r="L171" s="165">
        <f t="shared" si="78"/>
        <v>2.5786208886324289</v>
      </c>
      <c r="M171" s="165" t="e">
        <f t="shared" si="80"/>
        <v>#REF!</v>
      </c>
      <c r="N171" s="165" t="e">
        <f t="shared" si="81"/>
        <v>#REF!</v>
      </c>
    </row>
    <row r="172" spans="1:17" s="103" customFormat="1" ht="25.5">
      <c r="A172" s="120"/>
      <c r="B172" s="120" t="s">
        <v>105</v>
      </c>
      <c r="C172" s="142" t="s">
        <v>289</v>
      </c>
      <c r="D172" s="122" t="s">
        <v>218</v>
      </c>
      <c r="E172" s="123">
        <v>60</v>
      </c>
      <c r="F172" s="124">
        <v>3.98</v>
      </c>
      <c r="G172" s="124">
        <f t="shared" si="83"/>
        <v>238.8</v>
      </c>
      <c r="H172" s="149">
        <f t="shared" si="60"/>
        <v>716.40000000000009</v>
      </c>
      <c r="I172" s="149" t="e">
        <f>#REF!*12</f>
        <v>#REF!</v>
      </c>
      <c r="J172" s="149" t="e">
        <f>15*#REF!</f>
        <v>#REF!</v>
      </c>
      <c r="K172" s="150" t="e">
        <f t="shared" si="61"/>
        <v>#REF!</v>
      </c>
      <c r="L172" s="165">
        <f t="shared" si="78"/>
        <v>9.5691479130602044</v>
      </c>
      <c r="M172" s="165" t="e">
        <f t="shared" si="80"/>
        <v>#REF!</v>
      </c>
      <c r="N172" s="165" t="e">
        <f t="shared" si="81"/>
        <v>#REF!</v>
      </c>
    </row>
    <row r="173" spans="1:17" s="103" customFormat="1">
      <c r="A173" s="120"/>
      <c r="B173" s="120" t="s">
        <v>109</v>
      </c>
      <c r="C173" s="121" t="s">
        <v>293</v>
      </c>
      <c r="D173" s="122" t="s">
        <v>235</v>
      </c>
      <c r="E173" s="123">
        <v>4</v>
      </c>
      <c r="F173" s="124">
        <v>12.41</v>
      </c>
      <c r="G173" s="124">
        <f t="shared" si="83"/>
        <v>49.64</v>
      </c>
      <c r="H173" s="149">
        <f t="shared" si="60"/>
        <v>148.92000000000002</v>
      </c>
      <c r="I173" s="149" t="e">
        <f>#REF!*12</f>
        <v>#REF!</v>
      </c>
      <c r="J173" s="149" t="e">
        <f>15*#REF!</f>
        <v>#REF!</v>
      </c>
      <c r="K173" s="150" t="e">
        <f t="shared" si="61"/>
        <v>#REF!</v>
      </c>
      <c r="L173" s="165">
        <f t="shared" si="78"/>
        <v>1.9891645829326152</v>
      </c>
      <c r="M173" s="165" t="e">
        <f t="shared" si="80"/>
        <v>#REF!</v>
      </c>
      <c r="N173" s="165" t="e">
        <f t="shared" si="81"/>
        <v>#REF!</v>
      </c>
    </row>
    <row r="174" spans="1:17" s="103" customFormat="1">
      <c r="A174" s="120"/>
      <c r="B174" s="141" t="s">
        <v>110</v>
      </c>
      <c r="C174" s="121" t="s">
        <v>294</v>
      </c>
      <c r="D174" s="122" t="s">
        <v>235</v>
      </c>
      <c r="E174" s="123">
        <v>2</v>
      </c>
      <c r="F174" s="124">
        <v>9.68</v>
      </c>
      <c r="G174" s="124">
        <f t="shared" si="83"/>
        <v>19.36</v>
      </c>
      <c r="H174" s="149">
        <f t="shared" si="60"/>
        <v>58.08</v>
      </c>
      <c r="I174" s="149" t="e">
        <f>#REF!*12</f>
        <v>#REF!</v>
      </c>
      <c r="J174" s="149" t="e">
        <f>15*#REF!</f>
        <v>#REF!</v>
      </c>
      <c r="K174" s="150" t="e">
        <f t="shared" si="61"/>
        <v>#REF!</v>
      </c>
      <c r="L174" s="165">
        <f t="shared" si="78"/>
        <v>0.77579021606719223</v>
      </c>
      <c r="M174" s="165" t="e">
        <f t="shared" si="80"/>
        <v>#REF!</v>
      </c>
      <c r="N174" s="165" t="e">
        <f t="shared" si="81"/>
        <v>#REF!</v>
      </c>
    </row>
    <row r="175" spans="1:17" s="103" customFormat="1">
      <c r="A175" s="120"/>
      <c r="B175" s="120" t="s">
        <v>111</v>
      </c>
      <c r="C175" s="121" t="s">
        <v>295</v>
      </c>
      <c r="D175" s="122" t="s">
        <v>235</v>
      </c>
      <c r="E175" s="123">
        <v>2</v>
      </c>
      <c r="F175" s="124">
        <v>10.41</v>
      </c>
      <c r="G175" s="124">
        <f t="shared" si="83"/>
        <v>20.82</v>
      </c>
      <c r="H175" s="149">
        <f t="shared" si="60"/>
        <v>62.46</v>
      </c>
      <c r="I175" s="149" t="e">
        <f>#REF!*12</f>
        <v>#REF!</v>
      </c>
      <c r="J175" s="149" t="e">
        <f>15*#REF!</f>
        <v>#REF!</v>
      </c>
      <c r="K175" s="150" t="e">
        <f t="shared" si="61"/>
        <v>#REF!</v>
      </c>
      <c r="L175" s="165">
        <f t="shared" si="78"/>
        <v>0.83429505674168092</v>
      </c>
      <c r="M175" s="165" t="e">
        <f t="shared" si="80"/>
        <v>#REF!</v>
      </c>
      <c r="N175" s="165" t="e">
        <f t="shared" si="81"/>
        <v>#REF!</v>
      </c>
    </row>
    <row r="176" spans="1:17" s="103" customFormat="1">
      <c r="A176" s="120"/>
      <c r="B176" s="141" t="s">
        <v>112</v>
      </c>
      <c r="C176" s="121" t="s">
        <v>349</v>
      </c>
      <c r="D176" s="122" t="s">
        <v>235</v>
      </c>
      <c r="E176" s="123">
        <v>1</v>
      </c>
      <c r="F176" s="124">
        <v>10.41</v>
      </c>
      <c r="G176" s="124">
        <f t="shared" si="83"/>
        <v>10.41</v>
      </c>
      <c r="H176" s="149">
        <f t="shared" si="60"/>
        <v>31.23</v>
      </c>
      <c r="I176" s="149" t="e">
        <f>#REF!*12</f>
        <v>#REF!</v>
      </c>
      <c r="J176" s="149" t="e">
        <f>15*#REF!</f>
        <v>#REF!</v>
      </c>
      <c r="K176" s="150" t="e">
        <f t="shared" si="61"/>
        <v>#REF!</v>
      </c>
      <c r="L176" s="165">
        <f t="shared" si="78"/>
        <v>0.41714752837084046</v>
      </c>
      <c r="M176" s="165" t="e">
        <f t="shared" si="80"/>
        <v>#REF!</v>
      </c>
      <c r="N176" s="165" t="e">
        <f t="shared" si="81"/>
        <v>#REF!</v>
      </c>
    </row>
    <row r="177" spans="1:14" s="103" customFormat="1">
      <c r="A177" s="120"/>
      <c r="B177" s="120" t="s">
        <v>113</v>
      </c>
      <c r="C177" s="121" t="s">
        <v>296</v>
      </c>
      <c r="D177" s="122" t="s">
        <v>235</v>
      </c>
      <c r="E177" s="123">
        <v>1</v>
      </c>
      <c r="F177" s="124">
        <v>51.33</v>
      </c>
      <c r="G177" s="124">
        <f t="shared" si="83"/>
        <v>51.33</v>
      </c>
      <c r="H177" s="149">
        <f t="shared" si="60"/>
        <v>153.99</v>
      </c>
      <c r="I177" s="149" t="e">
        <f>#REF!*12</f>
        <v>#REF!</v>
      </c>
      <c r="J177" s="149" t="e">
        <f>15*#REF!</f>
        <v>#REF!</v>
      </c>
      <c r="K177" s="150" t="e">
        <f t="shared" si="61"/>
        <v>#REF!</v>
      </c>
      <c r="L177" s="165">
        <f t="shared" si="78"/>
        <v>2.0568859396037698</v>
      </c>
      <c r="M177" s="165" t="e">
        <f t="shared" si="80"/>
        <v>#REF!</v>
      </c>
      <c r="N177" s="165" t="e">
        <f t="shared" si="81"/>
        <v>#REF!</v>
      </c>
    </row>
    <row r="178" spans="1:14" s="103" customFormat="1">
      <c r="A178" s="120"/>
      <c r="B178" s="141" t="s">
        <v>365</v>
      </c>
      <c r="C178" s="121" t="s">
        <v>406</v>
      </c>
      <c r="D178" s="122" t="s">
        <v>235</v>
      </c>
      <c r="E178" s="123">
        <v>1</v>
      </c>
      <c r="F178" s="124">
        <v>64.400000000000006</v>
      </c>
      <c r="G178" s="124">
        <f t="shared" si="83"/>
        <v>64.400000000000006</v>
      </c>
      <c r="H178" s="149">
        <f t="shared" si="60"/>
        <v>193.20000000000002</v>
      </c>
      <c r="I178" s="149" t="e">
        <f>#REF!*12</f>
        <v>#REF!</v>
      </c>
      <c r="J178" s="149" t="e">
        <f>15*#REF!</f>
        <v>#REF!</v>
      </c>
      <c r="K178" s="150" t="e">
        <f t="shared" si="61"/>
        <v>#REF!</v>
      </c>
      <c r="L178" s="165">
        <f t="shared" si="78"/>
        <v>2.5806244790664867</v>
      </c>
      <c r="M178" s="165" t="e">
        <f t="shared" si="80"/>
        <v>#REF!</v>
      </c>
      <c r="N178" s="165" t="e">
        <f t="shared" si="81"/>
        <v>#REF!</v>
      </c>
    </row>
    <row r="179" spans="1:14" s="103" customFormat="1">
      <c r="A179" s="125" t="s">
        <v>32</v>
      </c>
      <c r="B179" s="125"/>
      <c r="C179" s="126" t="s">
        <v>297</v>
      </c>
      <c r="D179" s="127"/>
      <c r="E179" s="100"/>
      <c r="F179" s="128"/>
      <c r="G179" s="128"/>
      <c r="H179" s="149">
        <f>G179*3</f>
        <v>0</v>
      </c>
      <c r="I179" s="149" t="e">
        <f>#REF!*12</f>
        <v>#REF!</v>
      </c>
      <c r="J179" s="149" t="e">
        <f>15*#REF!</f>
        <v>#REF!</v>
      </c>
      <c r="K179" s="150" t="e">
        <f>J179+I179+H179</f>
        <v>#REF!</v>
      </c>
      <c r="L179" s="165">
        <f t="shared" si="78"/>
        <v>0</v>
      </c>
      <c r="M179" s="165" t="e">
        <f t="shared" si="80"/>
        <v>#REF!</v>
      </c>
      <c r="N179" s="165" t="e">
        <f t="shared" si="81"/>
        <v>#REF!</v>
      </c>
    </row>
    <row r="180" spans="1:14" s="103" customFormat="1" ht="38.25">
      <c r="A180" s="120"/>
      <c r="B180" s="120" t="s">
        <v>114</v>
      </c>
      <c r="C180" s="121" t="s">
        <v>298</v>
      </c>
      <c r="D180" s="122" t="s">
        <v>235</v>
      </c>
      <c r="E180" s="123">
        <v>3</v>
      </c>
      <c r="F180" s="124">
        <v>16.850000000000001</v>
      </c>
      <c r="G180" s="124">
        <f t="shared" ref="G180:G189" si="87">ROUND(E180*F180,2)</f>
        <v>50.55</v>
      </c>
      <c r="H180" s="149">
        <f t="shared" si="60"/>
        <v>151.64999999999998</v>
      </c>
      <c r="I180" s="149" t="e">
        <f>#REF!*12</f>
        <v>#REF!</v>
      </c>
      <c r="J180" s="149" t="e">
        <f>15*#REF!</f>
        <v>#REF!</v>
      </c>
      <c r="K180" s="150" t="e">
        <f t="shared" ref="K180:K191" si="88">J180+I180+H180</f>
        <v>#REF!</v>
      </c>
      <c r="L180" s="165">
        <f t="shared" si="78"/>
        <v>2.0256299288324673</v>
      </c>
      <c r="M180" s="165" t="e">
        <f t="shared" si="80"/>
        <v>#REF!</v>
      </c>
      <c r="N180" s="165" t="e">
        <f t="shared" si="81"/>
        <v>#REF!</v>
      </c>
    </row>
    <row r="181" spans="1:14" s="103" customFormat="1" ht="25.5">
      <c r="A181" s="120"/>
      <c r="B181" s="120" t="s">
        <v>115</v>
      </c>
      <c r="C181" s="121" t="s">
        <v>350</v>
      </c>
      <c r="D181" s="122" t="s">
        <v>235</v>
      </c>
      <c r="E181" s="123">
        <v>3</v>
      </c>
      <c r="F181" s="124">
        <v>17.41</v>
      </c>
      <c r="G181" s="124">
        <f t="shared" si="87"/>
        <v>52.23</v>
      </c>
      <c r="H181" s="149">
        <f t="shared" si="60"/>
        <v>156.69</v>
      </c>
      <c r="I181" s="149" t="e">
        <f>#REF!*12</f>
        <v>#REF!</v>
      </c>
      <c r="J181" s="149" t="e">
        <f>15*#REF!</f>
        <v>#REF!</v>
      </c>
      <c r="K181" s="150" t="e">
        <f t="shared" si="88"/>
        <v>#REF!</v>
      </c>
      <c r="L181" s="165">
        <f t="shared" si="78"/>
        <v>2.0929505674168105</v>
      </c>
      <c r="M181" s="165" t="e">
        <f t="shared" si="80"/>
        <v>#REF!</v>
      </c>
      <c r="N181" s="165" t="e">
        <f t="shared" si="81"/>
        <v>#REF!</v>
      </c>
    </row>
    <row r="182" spans="1:14" s="103" customFormat="1" ht="25.5">
      <c r="A182" s="120"/>
      <c r="B182" s="120" t="s">
        <v>116</v>
      </c>
      <c r="C182" s="121" t="s">
        <v>356</v>
      </c>
      <c r="D182" s="122" t="s">
        <v>235</v>
      </c>
      <c r="E182" s="123">
        <v>1</v>
      </c>
      <c r="F182" s="124">
        <v>27.53</v>
      </c>
      <c r="G182" s="124">
        <f t="shared" si="87"/>
        <v>27.53</v>
      </c>
      <c r="H182" s="149">
        <f t="shared" si="60"/>
        <v>82.59</v>
      </c>
      <c r="I182" s="149" t="e">
        <f>#REF!*12</f>
        <v>#REF!</v>
      </c>
      <c r="J182" s="149" t="e">
        <f>15*#REF!</f>
        <v>#REF!</v>
      </c>
      <c r="K182" s="150" t="e">
        <f t="shared" si="88"/>
        <v>#REF!</v>
      </c>
      <c r="L182" s="165">
        <f t="shared" si="78"/>
        <v>1.1031768929922419</v>
      </c>
      <c r="M182" s="165" t="e">
        <f t="shared" si="80"/>
        <v>#REF!</v>
      </c>
      <c r="N182" s="165" t="e">
        <f t="shared" si="81"/>
        <v>#REF!</v>
      </c>
    </row>
    <row r="183" spans="1:14" s="103" customFormat="1" ht="25.5">
      <c r="A183" s="120"/>
      <c r="B183" s="120" t="s">
        <v>116</v>
      </c>
      <c r="C183" s="121" t="s">
        <v>351</v>
      </c>
      <c r="D183" s="122" t="s">
        <v>235</v>
      </c>
      <c r="E183" s="123">
        <v>1</v>
      </c>
      <c r="F183" s="124">
        <v>37.65</v>
      </c>
      <c r="G183" s="124">
        <f t="shared" si="87"/>
        <v>37.65</v>
      </c>
      <c r="H183" s="149">
        <f t="shared" si="60"/>
        <v>112.94999999999999</v>
      </c>
      <c r="I183" s="149" t="e">
        <f>#REF!*12</f>
        <v>#REF!</v>
      </c>
      <c r="J183" s="149" t="e">
        <f>15*#REF!</f>
        <v>#REF!</v>
      </c>
      <c r="K183" s="150" t="e">
        <f t="shared" si="88"/>
        <v>#REF!</v>
      </c>
      <c r="L183" s="165">
        <f t="shared" si="78"/>
        <v>1.5087035968455467</v>
      </c>
      <c r="M183" s="165" t="e">
        <f t="shared" si="80"/>
        <v>#REF!</v>
      </c>
      <c r="N183" s="165" t="e">
        <f t="shared" si="81"/>
        <v>#REF!</v>
      </c>
    </row>
    <row r="184" spans="1:14" s="103" customFormat="1" ht="25.5">
      <c r="A184" s="120"/>
      <c r="B184" s="120" t="s">
        <v>117</v>
      </c>
      <c r="C184" s="121" t="s">
        <v>299</v>
      </c>
      <c r="D184" s="122" t="s">
        <v>235</v>
      </c>
      <c r="E184" s="123">
        <v>1</v>
      </c>
      <c r="F184" s="124">
        <v>30.99</v>
      </c>
      <c r="G184" s="124">
        <f t="shared" si="87"/>
        <v>30.99</v>
      </c>
      <c r="H184" s="149">
        <f t="shared" si="60"/>
        <v>92.97</v>
      </c>
      <c r="I184" s="149" t="e">
        <f>#REF!*12</f>
        <v>#REF!</v>
      </c>
      <c r="J184" s="149" t="e">
        <f>15*#REF!</f>
        <v>#REF!</v>
      </c>
      <c r="K184" s="150" t="e">
        <f t="shared" si="88"/>
        <v>#REF!</v>
      </c>
      <c r="L184" s="165">
        <f t="shared" si="78"/>
        <v>1.2418253510290438</v>
      </c>
      <c r="M184" s="165" t="e">
        <f t="shared" si="80"/>
        <v>#REF!</v>
      </c>
      <c r="N184" s="165" t="e">
        <f t="shared" si="81"/>
        <v>#REF!</v>
      </c>
    </row>
    <row r="185" spans="1:14" s="103" customFormat="1">
      <c r="A185" s="120"/>
      <c r="B185" s="120" t="s">
        <v>118</v>
      </c>
      <c r="C185" s="121" t="s">
        <v>300</v>
      </c>
      <c r="D185" s="122" t="s">
        <v>235</v>
      </c>
      <c r="E185" s="123">
        <v>6</v>
      </c>
      <c r="F185" s="124">
        <v>7.23</v>
      </c>
      <c r="G185" s="124">
        <f t="shared" si="87"/>
        <v>43.38</v>
      </c>
      <c r="H185" s="149">
        <f t="shared" si="60"/>
        <v>130.14000000000001</v>
      </c>
      <c r="I185" s="149" t="e">
        <f>#REF!*12</f>
        <v>#REF!</v>
      </c>
      <c r="J185" s="149" t="e">
        <f>15*#REF!</f>
        <v>#REF!</v>
      </c>
      <c r="K185" s="150" t="e">
        <f t="shared" si="88"/>
        <v>#REF!</v>
      </c>
      <c r="L185" s="165">
        <f t="shared" si="78"/>
        <v>1.7383150605885747</v>
      </c>
      <c r="M185" s="165" t="e">
        <f t="shared" si="80"/>
        <v>#REF!</v>
      </c>
      <c r="N185" s="165" t="e">
        <f t="shared" si="81"/>
        <v>#REF!</v>
      </c>
    </row>
    <row r="186" spans="1:14" s="103" customFormat="1" ht="25.5">
      <c r="A186" s="120"/>
      <c r="B186" s="120" t="s">
        <v>119</v>
      </c>
      <c r="C186" s="121" t="s">
        <v>411</v>
      </c>
      <c r="D186" s="122" t="s">
        <v>235</v>
      </c>
      <c r="E186" s="123">
        <v>8</v>
      </c>
      <c r="F186" s="124">
        <v>20.76</v>
      </c>
      <c r="G186" s="124">
        <f t="shared" si="87"/>
        <v>166.08</v>
      </c>
      <c r="H186" s="149">
        <f t="shared" si="60"/>
        <v>498.24</v>
      </c>
      <c r="I186" s="149" t="e">
        <f>#REF!*12</f>
        <v>#REF!</v>
      </c>
      <c r="J186" s="149" t="e">
        <f>15*#REF!</f>
        <v>#REF!</v>
      </c>
      <c r="K186" s="150" t="e">
        <f t="shared" si="88"/>
        <v>#REF!</v>
      </c>
      <c r="L186" s="165">
        <f t="shared" si="78"/>
        <v>6.6551259857664924</v>
      </c>
      <c r="M186" s="165" t="e">
        <f t="shared" si="80"/>
        <v>#REF!</v>
      </c>
      <c r="N186" s="165" t="e">
        <f t="shared" si="81"/>
        <v>#REF!</v>
      </c>
    </row>
    <row r="187" spans="1:14" s="103" customFormat="1" ht="25.5">
      <c r="A187" s="120"/>
      <c r="B187" s="120" t="s">
        <v>120</v>
      </c>
      <c r="C187" s="121" t="s">
        <v>366</v>
      </c>
      <c r="D187" s="122" t="s">
        <v>235</v>
      </c>
      <c r="E187" s="123">
        <v>1</v>
      </c>
      <c r="F187" s="124">
        <v>34.46</v>
      </c>
      <c r="G187" s="124">
        <f t="shared" si="87"/>
        <v>34.46</v>
      </c>
      <c r="H187" s="149">
        <f t="shared" si="60"/>
        <v>103.38</v>
      </c>
      <c r="I187" s="149" t="e">
        <f>#REF!*12</f>
        <v>#REF!</v>
      </c>
      <c r="J187" s="149" t="e">
        <f>15*#REF!</f>
        <v>#REF!</v>
      </c>
      <c r="K187" s="150" t="e">
        <f t="shared" si="88"/>
        <v>#REF!</v>
      </c>
      <c r="L187" s="165">
        <f t="shared" si="78"/>
        <v>1.3808745271526572</v>
      </c>
      <c r="M187" s="165" t="e">
        <f t="shared" si="80"/>
        <v>#REF!</v>
      </c>
      <c r="N187" s="165" t="e">
        <f t="shared" si="81"/>
        <v>#REF!</v>
      </c>
    </row>
    <row r="188" spans="1:14" s="103" customFormat="1" ht="25.5">
      <c r="A188" s="120"/>
      <c r="B188" s="120" t="s">
        <v>120</v>
      </c>
      <c r="C188" s="121" t="s">
        <v>301</v>
      </c>
      <c r="D188" s="122" t="s">
        <v>235</v>
      </c>
      <c r="E188" s="123">
        <v>3</v>
      </c>
      <c r="F188" s="124">
        <v>20.86</v>
      </c>
      <c r="G188" s="124">
        <f t="shared" si="87"/>
        <v>62.58</v>
      </c>
      <c r="H188" s="149">
        <f t="shared" si="60"/>
        <v>187.74</v>
      </c>
      <c r="J188" s="149" t="e">
        <f>15*#REF!</f>
        <v>#REF!</v>
      </c>
      <c r="K188" s="150" t="e">
        <f t="shared" si="88"/>
        <v>#REF!</v>
      </c>
      <c r="L188" s="165">
        <f t="shared" si="78"/>
        <v>2.5076937872667817</v>
      </c>
      <c r="M188" s="165" t="e">
        <f t="shared" si="80"/>
        <v>#REF!</v>
      </c>
      <c r="N188" s="165" t="e">
        <f t="shared" si="81"/>
        <v>#REF!</v>
      </c>
    </row>
    <row r="189" spans="1:14" s="103" customFormat="1" ht="25.5">
      <c r="A189" s="120"/>
      <c r="B189" s="120" t="s">
        <v>120</v>
      </c>
      <c r="C189" s="121" t="s">
        <v>412</v>
      </c>
      <c r="D189" s="122" t="s">
        <v>235</v>
      </c>
      <c r="E189" s="123">
        <v>1</v>
      </c>
      <c r="F189" s="124">
        <v>20.86</v>
      </c>
      <c r="G189" s="124">
        <f t="shared" si="87"/>
        <v>20.86</v>
      </c>
      <c r="H189" s="149">
        <f t="shared" si="60"/>
        <v>62.58</v>
      </c>
      <c r="J189" s="149" t="e">
        <f>15*#REF!</f>
        <v>#REF!</v>
      </c>
      <c r="K189" s="150" t="e">
        <f t="shared" si="88"/>
        <v>#REF!</v>
      </c>
      <c r="L189" s="165">
        <f t="shared" si="78"/>
        <v>0.83589792908892724</v>
      </c>
      <c r="M189" s="165" t="e">
        <f t="shared" si="80"/>
        <v>#REF!</v>
      </c>
      <c r="N189" s="165" t="e">
        <f t="shared" si="81"/>
        <v>#REF!</v>
      </c>
    </row>
    <row r="190" spans="1:14" s="103" customFormat="1">
      <c r="A190" s="125" t="s">
        <v>85</v>
      </c>
      <c r="B190" s="125"/>
      <c r="C190" s="126" t="s">
        <v>302</v>
      </c>
      <c r="D190" s="127"/>
      <c r="E190" s="100"/>
      <c r="F190" s="128"/>
      <c r="G190" s="128"/>
      <c r="H190" s="149">
        <f t="shared" si="60"/>
        <v>0</v>
      </c>
      <c r="I190" s="149" t="e">
        <f>#REF!*12</f>
        <v>#REF!</v>
      </c>
      <c r="J190" s="149" t="e">
        <f>15*#REF!</f>
        <v>#REF!</v>
      </c>
      <c r="K190" s="150" t="e">
        <f>J190+I190+H190</f>
        <v>#REF!</v>
      </c>
      <c r="L190" s="165">
        <f t="shared" si="78"/>
        <v>0</v>
      </c>
      <c r="M190" s="165" t="e">
        <f t="shared" si="80"/>
        <v>#REF!</v>
      </c>
      <c r="N190" s="165" t="e">
        <f t="shared" si="81"/>
        <v>#REF!</v>
      </c>
    </row>
    <row r="191" spans="1:14" s="103" customFormat="1">
      <c r="A191" s="120"/>
      <c r="B191" s="120" t="s">
        <v>121</v>
      </c>
      <c r="C191" s="121" t="s">
        <v>303</v>
      </c>
      <c r="D191" s="122" t="s">
        <v>235</v>
      </c>
      <c r="E191" s="123">
        <v>1</v>
      </c>
      <c r="F191" s="124">
        <v>73.38</v>
      </c>
      <c r="G191" s="124">
        <f t="shared" ref="G191" si="89">ROUND(E191*F191,2)</f>
        <v>73.38</v>
      </c>
      <c r="H191" s="149">
        <f t="shared" si="60"/>
        <v>220.14</v>
      </c>
      <c r="I191" s="149" t="e">
        <f>#REF!*12</f>
        <v>#REF!</v>
      </c>
      <c r="J191" s="149" t="e">
        <f>15*#REF!</f>
        <v>#REF!</v>
      </c>
      <c r="K191" s="150" t="e">
        <f t="shared" si="88"/>
        <v>#REF!</v>
      </c>
      <c r="L191" s="165">
        <f t="shared" si="78"/>
        <v>2.9404693210232731</v>
      </c>
      <c r="M191" s="165" t="e">
        <f t="shared" si="80"/>
        <v>#REF!</v>
      </c>
      <c r="N191" s="165" t="e">
        <f t="shared" si="81"/>
        <v>#REF!</v>
      </c>
    </row>
    <row r="192" spans="1:14" s="103" customFormat="1">
      <c r="H192" s="149">
        <f t="shared" si="60"/>
        <v>0</v>
      </c>
      <c r="I192" s="149" t="e">
        <f>#REF!*12</f>
        <v>#REF!</v>
      </c>
      <c r="J192" s="149" t="e">
        <f>15*#REF!</f>
        <v>#REF!</v>
      </c>
      <c r="K192" s="150" t="e">
        <f t="shared" ref="K192" si="90">J192+I192+H192</f>
        <v>#REF!</v>
      </c>
      <c r="L192" s="165">
        <f t="shared" si="78"/>
        <v>0</v>
      </c>
      <c r="M192" s="165" t="e">
        <f t="shared" si="80"/>
        <v>#REF!</v>
      </c>
      <c r="N192" s="165" t="e">
        <f t="shared" si="81"/>
        <v>#REF!</v>
      </c>
    </row>
    <row r="193" spans="1:14" s="103" customFormat="1" ht="25.5">
      <c r="A193" s="120"/>
      <c r="B193" s="120" t="s">
        <v>122</v>
      </c>
      <c r="C193" s="121" t="s">
        <v>304</v>
      </c>
      <c r="D193" s="122" t="s">
        <v>235</v>
      </c>
      <c r="E193" s="123">
        <v>2</v>
      </c>
      <c r="F193" s="124">
        <v>9.93</v>
      </c>
      <c r="G193" s="124">
        <f>ROUND(E193*F193,2)</f>
        <v>19.86</v>
      </c>
      <c r="H193" s="149">
        <f t="shared" si="60"/>
        <v>59.58</v>
      </c>
      <c r="I193" s="149" t="e">
        <f>#REF!*12</f>
        <v>#REF!</v>
      </c>
      <c r="J193" s="149" t="e">
        <f>15*#REF!</f>
        <v>#REF!</v>
      </c>
      <c r="K193" s="150" t="e">
        <f t="shared" ref="K193:K199" si="91">J193+I193+H193</f>
        <v>#REF!</v>
      </c>
      <c r="L193" s="165">
        <f t="shared" si="78"/>
        <v>0.79582612040777057</v>
      </c>
      <c r="M193" s="165" t="e">
        <f t="shared" si="80"/>
        <v>#REF!</v>
      </c>
      <c r="N193" s="165" t="e">
        <f t="shared" si="81"/>
        <v>#REF!</v>
      </c>
    </row>
    <row r="194" spans="1:14" s="103" customFormat="1" ht="25.5">
      <c r="A194" s="120"/>
      <c r="B194" s="120" t="s">
        <v>123</v>
      </c>
      <c r="C194" s="121" t="s">
        <v>381</v>
      </c>
      <c r="D194" s="122" t="s">
        <v>218</v>
      </c>
      <c r="E194" s="123">
        <v>18</v>
      </c>
      <c r="F194" s="124">
        <v>8.0299999999999994</v>
      </c>
      <c r="G194" s="124">
        <f>ROUND(E194*F194,2)</f>
        <v>144.54</v>
      </c>
      <c r="H194" s="149">
        <f t="shared" si="60"/>
        <v>433.62</v>
      </c>
      <c r="I194" s="149" t="e">
        <f>#REF!*12</f>
        <v>#REF!</v>
      </c>
      <c r="J194" s="149" t="e">
        <f>15*#REF!</f>
        <v>#REF!</v>
      </c>
      <c r="K194" s="150" t="e">
        <f t="shared" si="91"/>
        <v>#REF!</v>
      </c>
      <c r="L194" s="165">
        <f t="shared" si="78"/>
        <v>5.7919792267743784</v>
      </c>
      <c r="M194" s="165" t="e">
        <f t="shared" si="80"/>
        <v>#REF!</v>
      </c>
      <c r="N194" s="165" t="e">
        <f t="shared" si="81"/>
        <v>#REF!</v>
      </c>
    </row>
    <row r="195" spans="1:14" s="103" customFormat="1">
      <c r="A195" s="120"/>
      <c r="B195" s="120" t="s">
        <v>124</v>
      </c>
      <c r="C195" s="121" t="s">
        <v>305</v>
      </c>
      <c r="D195" s="122" t="s">
        <v>235</v>
      </c>
      <c r="E195" s="123">
        <v>1</v>
      </c>
      <c r="F195" s="124">
        <v>19.27</v>
      </c>
      <c r="G195" s="124">
        <f>ROUND(E195*F195,2)</f>
        <v>19.27</v>
      </c>
      <c r="H195" s="149">
        <f t="shared" si="60"/>
        <v>57.81</v>
      </c>
      <c r="I195" s="149" t="e">
        <f>#REF!*12</f>
        <v>#REF!</v>
      </c>
      <c r="J195" s="149" t="e">
        <f>15*#REF!</f>
        <v>#REF!</v>
      </c>
      <c r="K195" s="150" t="e">
        <f t="shared" si="91"/>
        <v>#REF!</v>
      </c>
      <c r="L195" s="165">
        <f t="shared" si="78"/>
        <v>0.77218375328588817</v>
      </c>
      <c r="M195" s="165" t="e">
        <f t="shared" si="80"/>
        <v>#REF!</v>
      </c>
      <c r="N195" s="165" t="e">
        <f t="shared" si="81"/>
        <v>#REF!</v>
      </c>
    </row>
    <row r="196" spans="1:14" s="103" customFormat="1" ht="25.5">
      <c r="A196" s="120"/>
      <c r="B196" s="120" t="s">
        <v>125</v>
      </c>
      <c r="C196" s="121" t="s">
        <v>367</v>
      </c>
      <c r="D196" s="122" t="s">
        <v>235</v>
      </c>
      <c r="E196" s="123">
        <v>6</v>
      </c>
      <c r="F196" s="124">
        <v>6.2</v>
      </c>
      <c r="G196" s="124">
        <f>ROUND(E196*F196,2)</f>
        <v>37.200000000000003</v>
      </c>
      <c r="H196" s="149">
        <f t="shared" si="60"/>
        <v>111.60000000000001</v>
      </c>
      <c r="I196" s="149" t="e">
        <f>#REF!*12</f>
        <v>#REF!</v>
      </c>
      <c r="J196" s="149" t="e">
        <f>15*#REF!</f>
        <v>#REF!</v>
      </c>
      <c r="K196" s="150" t="e">
        <f t="shared" si="91"/>
        <v>#REF!</v>
      </c>
      <c r="L196" s="165">
        <f t="shared" si="78"/>
        <v>1.4906712829390265</v>
      </c>
      <c r="M196" s="165" t="e">
        <f t="shared" si="80"/>
        <v>#REF!</v>
      </c>
      <c r="N196" s="165" t="e">
        <f t="shared" si="81"/>
        <v>#REF!</v>
      </c>
    </row>
    <row r="197" spans="1:14" s="103" customFormat="1">
      <c r="A197" s="120"/>
      <c r="B197" s="120" t="s">
        <v>368</v>
      </c>
      <c r="C197" s="121" t="s">
        <v>306</v>
      </c>
      <c r="D197" s="122" t="s">
        <v>218</v>
      </c>
      <c r="E197" s="123">
        <v>18</v>
      </c>
      <c r="F197" s="124">
        <v>1.37</v>
      </c>
      <c r="G197" s="124">
        <f>ROUND(E197*F197,2)</f>
        <v>24.66</v>
      </c>
      <c r="H197" s="149">
        <f t="shared" si="60"/>
        <v>73.98</v>
      </c>
      <c r="I197" s="149" t="e">
        <f>#REF!*12</f>
        <v>#REF!</v>
      </c>
      <c r="J197" s="149" t="e">
        <f>15*#REF!</f>
        <v>#REF!</v>
      </c>
      <c r="K197" s="150" t="e">
        <f t="shared" si="91"/>
        <v>#REF!</v>
      </c>
      <c r="L197" s="165">
        <f t="shared" si="78"/>
        <v>0.98817080207732244</v>
      </c>
      <c r="M197" s="165" t="e">
        <f t="shared" si="80"/>
        <v>#REF!</v>
      </c>
      <c r="N197" s="165" t="e">
        <f t="shared" si="81"/>
        <v>#REF!</v>
      </c>
    </row>
    <row r="198" spans="1:14" s="103" customFormat="1">
      <c r="A198" s="125" t="s">
        <v>86</v>
      </c>
      <c r="B198" s="125"/>
      <c r="C198" s="126" t="s">
        <v>307</v>
      </c>
      <c r="D198" s="127"/>
      <c r="E198" s="100"/>
      <c r="F198" s="128"/>
      <c r="G198" s="128"/>
      <c r="H198" s="149">
        <f t="shared" si="60"/>
        <v>0</v>
      </c>
      <c r="I198" s="149" t="e">
        <f>#REF!*12</f>
        <v>#REF!</v>
      </c>
      <c r="J198" s="149" t="e">
        <f>15*#REF!</f>
        <v>#REF!</v>
      </c>
      <c r="K198" s="150" t="e">
        <f t="shared" si="91"/>
        <v>#REF!</v>
      </c>
      <c r="L198" s="165">
        <f t="shared" si="78"/>
        <v>0</v>
      </c>
      <c r="M198" s="165" t="e">
        <f t="shared" si="80"/>
        <v>#REF!</v>
      </c>
      <c r="N198" s="165" t="e">
        <f t="shared" si="81"/>
        <v>#REF!</v>
      </c>
    </row>
    <row r="199" spans="1:14" s="103" customFormat="1" ht="25.5">
      <c r="A199" s="120"/>
      <c r="B199" s="120" t="s">
        <v>126</v>
      </c>
      <c r="C199" s="121" t="s">
        <v>308</v>
      </c>
      <c r="D199" s="122" t="s">
        <v>235</v>
      </c>
      <c r="E199" s="123">
        <v>1</v>
      </c>
      <c r="F199" s="124">
        <v>9.0299999999999994</v>
      </c>
      <c r="G199" s="124">
        <f>ROUND(E199*F199,2)</f>
        <v>9.0299999999999994</v>
      </c>
      <c r="H199" s="149">
        <f t="shared" si="60"/>
        <v>27.089999999999996</v>
      </c>
      <c r="I199" s="149" t="e">
        <f>#REF!*12</f>
        <v>#REF!</v>
      </c>
      <c r="J199" s="149" t="e">
        <f>15*#REF!</f>
        <v>#REF!</v>
      </c>
      <c r="K199" s="150" t="e">
        <f t="shared" si="91"/>
        <v>#REF!</v>
      </c>
      <c r="L199" s="165">
        <f t="shared" si="78"/>
        <v>0.36184843239084424</v>
      </c>
      <c r="M199" s="165" t="e">
        <f t="shared" si="80"/>
        <v>#REF!</v>
      </c>
      <c r="N199" s="165" t="e">
        <f t="shared" si="81"/>
        <v>#REF!</v>
      </c>
    </row>
    <row r="200" spans="1:14" s="103" customFormat="1" ht="25.5">
      <c r="A200" s="120"/>
      <c r="B200" s="120" t="s">
        <v>127</v>
      </c>
      <c r="C200" s="121" t="s">
        <v>309</v>
      </c>
      <c r="D200" s="122" t="s">
        <v>218</v>
      </c>
      <c r="E200" s="123">
        <v>3</v>
      </c>
      <c r="F200" s="124">
        <v>14.53</v>
      </c>
      <c r="G200" s="124">
        <f>ROUND(E200*F200,2)</f>
        <v>43.59</v>
      </c>
      <c r="H200" s="149">
        <f t="shared" ref="H200:H221" si="92">G200*3</f>
        <v>130.77000000000001</v>
      </c>
      <c r="I200" s="149" t="e">
        <f>#REF!*12</f>
        <v>#REF!</v>
      </c>
      <c r="J200" s="149" t="e">
        <f>15*#REF!</f>
        <v>#REF!</v>
      </c>
      <c r="K200" s="150" t="e">
        <f t="shared" ref="K200:K208" si="93">J200+I200+H200</f>
        <v>#REF!</v>
      </c>
      <c r="L200" s="165">
        <f t="shared" si="78"/>
        <v>1.7467301404116176</v>
      </c>
      <c r="M200" s="165" t="e">
        <f t="shared" si="80"/>
        <v>#REF!</v>
      </c>
      <c r="N200" s="165" t="e">
        <f t="shared" si="81"/>
        <v>#REF!</v>
      </c>
    </row>
    <row r="201" spans="1:14" s="103" customFormat="1">
      <c r="A201" s="120"/>
      <c r="B201" s="120" t="s">
        <v>128</v>
      </c>
      <c r="C201" s="121" t="s">
        <v>310</v>
      </c>
      <c r="D201" s="122" t="s">
        <v>235</v>
      </c>
      <c r="E201" s="123">
        <v>1</v>
      </c>
      <c r="F201" s="124">
        <v>5.24</v>
      </c>
      <c r="G201" s="124">
        <f>ROUND(E201*F201,2)</f>
        <v>5.24</v>
      </c>
      <c r="H201" s="149">
        <f t="shared" si="92"/>
        <v>15.72</v>
      </c>
      <c r="I201" s="149" t="e">
        <f>#REF!*12</f>
        <v>#REF!</v>
      </c>
      <c r="J201" s="149" t="e">
        <f>15*#REF!</f>
        <v>#REF!</v>
      </c>
      <c r="K201" s="150" t="e">
        <f t="shared" si="93"/>
        <v>#REF!</v>
      </c>
      <c r="L201" s="165">
        <f t="shared" si="78"/>
        <v>0.20997627748926073</v>
      </c>
      <c r="M201" s="165" t="e">
        <f t="shared" si="80"/>
        <v>#REF!</v>
      </c>
      <c r="N201" s="165" t="e">
        <f t="shared" si="81"/>
        <v>#REF!</v>
      </c>
    </row>
    <row r="202" spans="1:14" s="103" customFormat="1">
      <c r="A202" s="125" t="s">
        <v>87</v>
      </c>
      <c r="B202" s="125"/>
      <c r="C202" s="126" t="s">
        <v>311</v>
      </c>
      <c r="D202" s="127"/>
      <c r="E202" s="100"/>
      <c r="F202" s="128"/>
      <c r="G202" s="128"/>
      <c r="H202" s="149">
        <f t="shared" si="92"/>
        <v>0</v>
      </c>
      <c r="I202" s="149" t="e">
        <f>#REF!*12</f>
        <v>#REF!</v>
      </c>
      <c r="J202" s="149" t="e">
        <f>15*#REF!</f>
        <v>#REF!</v>
      </c>
      <c r="K202" s="150" t="e">
        <f t="shared" si="93"/>
        <v>#REF!</v>
      </c>
      <c r="L202" s="165">
        <f t="shared" si="78"/>
        <v>0</v>
      </c>
      <c r="M202" s="165" t="e">
        <f t="shared" si="80"/>
        <v>#REF!</v>
      </c>
      <c r="N202" s="165" t="e">
        <f t="shared" si="81"/>
        <v>#REF!</v>
      </c>
    </row>
    <row r="203" spans="1:14" s="103" customFormat="1" ht="25.5">
      <c r="A203" s="120"/>
      <c r="B203" s="120" t="s">
        <v>129</v>
      </c>
      <c r="C203" s="121" t="s">
        <v>312</v>
      </c>
      <c r="D203" s="122" t="s">
        <v>235</v>
      </c>
      <c r="E203" s="123">
        <v>1</v>
      </c>
      <c r="F203" s="124">
        <v>21.67</v>
      </c>
      <c r="G203" s="124">
        <f t="shared" ref="G203:G208" si="94">ROUND(E203*F203,2)</f>
        <v>21.67</v>
      </c>
      <c r="H203" s="149">
        <f t="shared" si="92"/>
        <v>65.010000000000005</v>
      </c>
      <c r="I203" s="149" t="e">
        <f>#REF!*12</f>
        <v>#REF!</v>
      </c>
      <c r="J203" s="149" t="e">
        <f>15*#REF!</f>
        <v>#REF!</v>
      </c>
      <c r="K203" s="150" t="e">
        <f t="shared" si="93"/>
        <v>#REF!</v>
      </c>
      <c r="L203" s="165">
        <f t="shared" si="78"/>
        <v>0.86835609412066417</v>
      </c>
      <c r="M203" s="165" t="e">
        <f t="shared" si="80"/>
        <v>#REF!</v>
      </c>
      <c r="N203" s="165" t="e">
        <f t="shared" si="81"/>
        <v>#REF!</v>
      </c>
    </row>
    <row r="204" spans="1:14" s="103" customFormat="1" ht="25.5">
      <c r="A204" s="120"/>
      <c r="B204" s="120" t="s">
        <v>130</v>
      </c>
      <c r="C204" s="121" t="s">
        <v>313</v>
      </c>
      <c r="D204" s="122" t="s">
        <v>218</v>
      </c>
      <c r="E204" s="123">
        <v>6</v>
      </c>
      <c r="F204" s="124">
        <v>3.98</v>
      </c>
      <c r="G204" s="124">
        <f t="shared" si="94"/>
        <v>23.88</v>
      </c>
      <c r="H204" s="149">
        <f t="shared" si="92"/>
        <v>71.64</v>
      </c>
      <c r="I204" s="149" t="e">
        <f>#REF!*12</f>
        <v>#REF!</v>
      </c>
      <c r="J204" s="149" t="e">
        <f>15*#REF!</f>
        <v>#REF!</v>
      </c>
      <c r="K204" s="150" t="e">
        <f t="shared" si="93"/>
        <v>#REF!</v>
      </c>
      <c r="L204" s="165">
        <f t="shared" si="78"/>
        <v>0.9569147913060202</v>
      </c>
      <c r="M204" s="165" t="e">
        <f t="shared" si="80"/>
        <v>#REF!</v>
      </c>
      <c r="N204" s="165" t="e">
        <f t="shared" si="81"/>
        <v>#REF!</v>
      </c>
    </row>
    <row r="205" spans="1:14" s="103" customFormat="1">
      <c r="A205" s="120"/>
      <c r="B205" s="120" t="s">
        <v>131</v>
      </c>
      <c r="C205" s="121" t="s">
        <v>314</v>
      </c>
      <c r="D205" s="122" t="s">
        <v>235</v>
      </c>
      <c r="E205" s="123">
        <v>1</v>
      </c>
      <c r="F205" s="124">
        <v>9.7899999999999991</v>
      </c>
      <c r="G205" s="124">
        <f t="shared" si="94"/>
        <v>9.7899999999999991</v>
      </c>
      <c r="H205" s="149">
        <f t="shared" si="92"/>
        <v>29.369999999999997</v>
      </c>
      <c r="I205" s="149" t="e">
        <f>#REF!*12</f>
        <v>#REF!</v>
      </c>
      <c r="J205" s="149" t="e">
        <f>15*#REF!</f>
        <v>#REF!</v>
      </c>
      <c r="K205" s="150" t="e">
        <f t="shared" si="93"/>
        <v>#REF!</v>
      </c>
      <c r="L205" s="165">
        <f t="shared" si="78"/>
        <v>0.39230300698852333</v>
      </c>
      <c r="M205" s="165" t="e">
        <f t="shared" si="80"/>
        <v>#REF!</v>
      </c>
      <c r="N205" s="165" t="e">
        <f t="shared" si="81"/>
        <v>#REF!</v>
      </c>
    </row>
    <row r="206" spans="1:14" s="103" customFormat="1" ht="25.5">
      <c r="A206" s="120"/>
      <c r="B206" s="120" t="s">
        <v>132</v>
      </c>
      <c r="C206" s="121" t="s">
        <v>304</v>
      </c>
      <c r="D206" s="122" t="s">
        <v>235</v>
      </c>
      <c r="E206" s="123">
        <v>1</v>
      </c>
      <c r="F206" s="124">
        <v>9.93</v>
      </c>
      <c r="G206" s="124">
        <f t="shared" si="94"/>
        <v>9.93</v>
      </c>
      <c r="H206" s="149">
        <f t="shared" si="92"/>
        <v>29.79</v>
      </c>
      <c r="I206" s="149" t="e">
        <f>#REF!*12</f>
        <v>#REF!</v>
      </c>
      <c r="J206" s="149" t="e">
        <f>15*#REF!</f>
        <v>#REF!</v>
      </c>
      <c r="K206" s="150" t="e">
        <f t="shared" si="93"/>
        <v>#REF!</v>
      </c>
      <c r="L206" s="165">
        <f t="shared" si="78"/>
        <v>0.39791306020388528</v>
      </c>
      <c r="M206" s="165" t="e">
        <f t="shared" si="80"/>
        <v>#REF!</v>
      </c>
      <c r="N206" s="165" t="e">
        <f t="shared" si="81"/>
        <v>#REF!</v>
      </c>
    </row>
    <row r="207" spans="1:14" s="103" customFormat="1" ht="25.5">
      <c r="A207" s="120"/>
      <c r="B207" s="120" t="s">
        <v>133</v>
      </c>
      <c r="C207" s="121" t="s">
        <v>315</v>
      </c>
      <c r="D207" s="122" t="s">
        <v>218</v>
      </c>
      <c r="E207" s="123">
        <v>3</v>
      </c>
      <c r="F207" s="124">
        <v>8.0299999999999994</v>
      </c>
      <c r="G207" s="124">
        <f t="shared" si="94"/>
        <v>24.09</v>
      </c>
      <c r="H207" s="149">
        <f t="shared" si="92"/>
        <v>72.27</v>
      </c>
      <c r="I207" s="149" t="e">
        <f>#REF!*12</f>
        <v>#REF!</v>
      </c>
      <c r="J207" s="149" t="e">
        <f>15*#REF!</f>
        <v>#REF!</v>
      </c>
      <c r="K207" s="150" t="e">
        <f t="shared" si="93"/>
        <v>#REF!</v>
      </c>
      <c r="L207" s="165">
        <f t="shared" si="78"/>
        <v>0.9653298711290631</v>
      </c>
      <c r="M207" s="165" t="e">
        <f t="shared" si="80"/>
        <v>#REF!</v>
      </c>
      <c r="N207" s="165" t="e">
        <f t="shared" si="81"/>
        <v>#REF!</v>
      </c>
    </row>
    <row r="208" spans="1:14" s="103" customFormat="1">
      <c r="A208" s="173"/>
      <c r="B208" s="173" t="s">
        <v>134</v>
      </c>
      <c r="C208" s="174" t="s">
        <v>316</v>
      </c>
      <c r="D208" s="175" t="s">
        <v>235</v>
      </c>
      <c r="E208" s="176">
        <v>1</v>
      </c>
      <c r="F208" s="177">
        <v>38.22</v>
      </c>
      <c r="G208" s="177">
        <f t="shared" si="94"/>
        <v>38.22</v>
      </c>
      <c r="H208" s="149">
        <f t="shared" si="92"/>
        <v>114.66</v>
      </c>
      <c r="I208" s="149" t="e">
        <f>#REF!*12</f>
        <v>#REF!</v>
      </c>
      <c r="J208" s="149" t="e">
        <f>15*#REF!</f>
        <v>#REF!</v>
      </c>
      <c r="K208" s="150" t="e">
        <f t="shared" si="93"/>
        <v>#REF!</v>
      </c>
      <c r="L208" s="165">
        <f t="shared" si="78"/>
        <v>1.5315445277938062</v>
      </c>
      <c r="M208" s="165" t="e">
        <f t="shared" si="80"/>
        <v>#REF!</v>
      </c>
      <c r="N208" s="165" t="e">
        <f t="shared" si="81"/>
        <v>#REF!</v>
      </c>
    </row>
    <row r="209" spans="1:18" s="103" customFormat="1">
      <c r="A209" s="179"/>
      <c r="B209" s="179"/>
      <c r="C209" s="180"/>
      <c r="D209" s="181"/>
      <c r="E209" s="182"/>
      <c r="F209" s="39"/>
      <c r="G209" s="39"/>
      <c r="H209" s="153">
        <f t="shared" ref="H209:J209" si="95">SUM(H166:H208)</f>
        <v>7486.5600000000013</v>
      </c>
      <c r="I209" s="153" t="e">
        <f t="shared" si="95"/>
        <v>#REF!</v>
      </c>
      <c r="J209" s="153" t="e">
        <f t="shared" si="95"/>
        <v>#REF!</v>
      </c>
      <c r="K209" s="153" t="e">
        <f>SUM(K166:K208)</f>
        <v>#REF!</v>
      </c>
      <c r="L209" s="165">
        <f t="shared" si="78"/>
        <v>100</v>
      </c>
      <c r="M209" s="165" t="e">
        <f t="shared" si="80"/>
        <v>#REF!</v>
      </c>
      <c r="N209" s="165" t="e">
        <f t="shared" si="81"/>
        <v>#REF!</v>
      </c>
    </row>
    <row r="210" spans="1:18" s="103" customFormat="1">
      <c r="A210" s="179"/>
      <c r="B210" s="179"/>
      <c r="C210" s="180"/>
      <c r="D210" s="181"/>
      <c r="E210" s="182"/>
      <c r="F210" s="39"/>
      <c r="G210" s="39"/>
      <c r="H210" s="160" t="e">
        <f>H209/$K$209</f>
        <v>#REF!</v>
      </c>
      <c r="I210" s="160" t="e">
        <f t="shared" ref="I210:J210" si="96">I209/$K$209</f>
        <v>#REF!</v>
      </c>
      <c r="J210" s="160" t="e">
        <f t="shared" si="96"/>
        <v>#REF!</v>
      </c>
      <c r="K210" s="198">
        <v>3.3799999999999997E-2</v>
      </c>
      <c r="L210" s="165"/>
      <c r="M210" s="165"/>
      <c r="N210" s="165"/>
    </row>
    <row r="211" spans="1:18" s="103" customFormat="1">
      <c r="A211" s="179"/>
      <c r="B211" s="179"/>
      <c r="C211" s="180"/>
      <c r="D211" s="181"/>
      <c r="E211" s="182"/>
      <c r="F211" s="39"/>
      <c r="G211" s="39"/>
      <c r="H211" s="165" t="e">
        <f>H210*100*$K$210</f>
        <v>#REF!</v>
      </c>
      <c r="I211" s="165" t="e">
        <f t="shared" ref="I211:J211" si="97">I210*100*$K$210</f>
        <v>#REF!</v>
      </c>
      <c r="J211" s="165" t="e">
        <f t="shared" si="97"/>
        <v>#REF!</v>
      </c>
      <c r="K211" s="150"/>
      <c r="L211" s="162"/>
      <c r="M211" s="165"/>
      <c r="N211" s="165"/>
    </row>
    <row r="212" spans="1:18" s="103" customFormat="1">
      <c r="A212" s="179"/>
      <c r="B212" s="179"/>
      <c r="C212" s="180"/>
      <c r="D212" s="181"/>
      <c r="E212" s="182"/>
      <c r="F212" s="39"/>
      <c r="G212" s="39"/>
      <c r="H212" s="219"/>
      <c r="I212" s="219"/>
      <c r="J212" s="219"/>
      <c r="K212" s="220"/>
      <c r="L212" s="221"/>
      <c r="M212" s="165"/>
      <c r="N212" s="165"/>
    </row>
    <row r="213" spans="1:18" s="103" customFormat="1">
      <c r="A213" s="192" t="s">
        <v>33</v>
      </c>
      <c r="B213" s="192"/>
      <c r="C213" s="193" t="s">
        <v>317</v>
      </c>
      <c r="D213" s="194"/>
      <c r="E213" s="195"/>
      <c r="F213" s="196"/>
      <c r="G213" s="196"/>
      <c r="H213" s="149"/>
      <c r="I213" s="149"/>
      <c r="J213" s="149"/>
      <c r="K213" s="150"/>
      <c r="L213" s="162"/>
      <c r="M213" s="165"/>
      <c r="N213" s="165"/>
    </row>
    <row r="214" spans="1:18" s="103" customFormat="1">
      <c r="A214" s="183" t="s">
        <v>34</v>
      </c>
      <c r="B214" s="183"/>
      <c r="C214" s="184" t="s">
        <v>318</v>
      </c>
      <c r="D214" s="185"/>
      <c r="E214" s="186"/>
      <c r="F214" s="187"/>
      <c r="G214" s="187"/>
      <c r="H214" s="151">
        <v>47</v>
      </c>
      <c r="I214" s="151">
        <v>43</v>
      </c>
      <c r="J214" s="151">
        <v>38</v>
      </c>
      <c r="K214" s="151" t="s">
        <v>435</v>
      </c>
      <c r="L214" s="151">
        <v>47</v>
      </c>
      <c r="M214" s="151">
        <v>43</v>
      </c>
      <c r="N214" s="151">
        <v>38</v>
      </c>
      <c r="O214" s="215">
        <v>47</v>
      </c>
      <c r="P214" s="215">
        <v>43</v>
      </c>
      <c r="Q214" s="215">
        <v>38</v>
      </c>
    </row>
    <row r="215" spans="1:18" s="103" customFormat="1">
      <c r="A215" s="183" t="s">
        <v>49</v>
      </c>
      <c r="B215" s="183"/>
      <c r="C215" s="184" t="s">
        <v>326</v>
      </c>
      <c r="D215" s="185"/>
      <c r="E215" s="186"/>
      <c r="F215" s="187"/>
      <c r="G215" s="187"/>
      <c r="H215" s="150"/>
      <c r="L215" s="199" t="s">
        <v>185</v>
      </c>
      <c r="M215" s="199" t="s">
        <v>185</v>
      </c>
      <c r="N215" s="199" t="s">
        <v>185</v>
      </c>
      <c r="O215" s="216" t="s">
        <v>185</v>
      </c>
      <c r="P215" s="216" t="s">
        <v>185</v>
      </c>
      <c r="Q215" s="216" t="s">
        <v>185</v>
      </c>
    </row>
    <row r="216" spans="1:18" s="103" customFormat="1">
      <c r="A216" s="120"/>
      <c r="B216" s="120" t="s">
        <v>148</v>
      </c>
      <c r="C216" s="121" t="s">
        <v>370</v>
      </c>
      <c r="D216" s="122" t="s">
        <v>235</v>
      </c>
      <c r="E216" s="123">
        <v>1</v>
      </c>
      <c r="F216" s="124">
        <v>530.03</v>
      </c>
      <c r="G216" s="124">
        <f>ROUND(E216*F216,2)</f>
        <v>530.03</v>
      </c>
      <c r="H216" s="149">
        <f t="shared" si="92"/>
        <v>1590.09</v>
      </c>
      <c r="I216" s="149" t="e">
        <f>#REF!*12</f>
        <v>#REF!</v>
      </c>
      <c r="J216" s="149" t="e">
        <f>15*#REF!</f>
        <v>#REF!</v>
      </c>
      <c r="K216" s="150" t="e">
        <f t="shared" ref="K216" si="98">J216+I216+H216</f>
        <v>#REF!</v>
      </c>
      <c r="L216" s="165">
        <f>H216*100/$H$234</f>
        <v>14.831573233043992</v>
      </c>
      <c r="M216" s="165" t="e">
        <f>I216*100/$I$234</f>
        <v>#REF!</v>
      </c>
      <c r="N216" s="165" t="e">
        <f>J216*100/$J$234</f>
        <v>#REF!</v>
      </c>
      <c r="O216" s="197">
        <f>L216+L217</f>
        <v>15.875321099377107</v>
      </c>
      <c r="P216" s="197" t="e">
        <f>M216+M217</f>
        <v>#REF!</v>
      </c>
      <c r="Q216" s="197" t="e">
        <f>N216+N217</f>
        <v>#REF!</v>
      </c>
    </row>
    <row r="217" spans="1:18" s="103" customFormat="1" ht="25.5">
      <c r="A217" s="120"/>
      <c r="B217" s="120" t="s">
        <v>149</v>
      </c>
      <c r="C217" s="121" t="s">
        <v>327</v>
      </c>
      <c r="D217" s="122" t="s">
        <v>235</v>
      </c>
      <c r="E217" s="123">
        <v>1</v>
      </c>
      <c r="F217" s="124">
        <v>37.299999999999997</v>
      </c>
      <c r="G217" s="124">
        <f>ROUND(E217*F217,2)</f>
        <v>37.299999999999997</v>
      </c>
      <c r="H217" s="149">
        <f t="shared" si="92"/>
        <v>111.89999999999999</v>
      </c>
      <c r="I217" s="149" t="e">
        <f>#REF!*12</f>
        <v>#REF!</v>
      </c>
      <c r="J217" s="149" t="e">
        <f>15*#REF!</f>
        <v>#REF!</v>
      </c>
      <c r="K217" s="150" t="e">
        <f t="shared" ref="K217:K219" si="99">J217+I217+H217</f>
        <v>#REF!</v>
      </c>
      <c r="L217" s="165">
        <f t="shared" ref="L217:L234" si="100">H217*100/$H$234</f>
        <v>1.043747866333115</v>
      </c>
      <c r="M217" s="165" t="e">
        <f t="shared" ref="M217:M234" si="101">I217*100/$I$234</f>
        <v>#REF!</v>
      </c>
      <c r="N217" s="165" t="e">
        <f t="shared" ref="N217:N234" si="102">J217*100/$J$234</f>
        <v>#REF!</v>
      </c>
      <c r="O217" s="197">
        <f>L225+L227</f>
        <v>16.453719715921491</v>
      </c>
      <c r="P217" s="197" t="e">
        <f>M225+M227</f>
        <v>#REF!</v>
      </c>
      <c r="Q217" s="197" t="e">
        <f>N225+N227</f>
        <v>#REF!</v>
      </c>
      <c r="R217" s="103" t="s">
        <v>436</v>
      </c>
    </row>
    <row r="218" spans="1:18" s="103" customFormat="1">
      <c r="A218" s="125" t="s">
        <v>371</v>
      </c>
      <c r="B218" s="125"/>
      <c r="C218" s="126" t="s">
        <v>352</v>
      </c>
      <c r="D218" s="127"/>
      <c r="E218" s="100"/>
      <c r="F218" s="128"/>
      <c r="G218" s="128"/>
      <c r="H218" s="149">
        <f t="shared" si="92"/>
        <v>0</v>
      </c>
      <c r="I218" s="149" t="e">
        <f>#REF!*12</f>
        <v>#REF!</v>
      </c>
      <c r="J218" s="149" t="e">
        <f>15*#REF!</f>
        <v>#REF!</v>
      </c>
      <c r="K218" s="150" t="e">
        <f t="shared" si="99"/>
        <v>#REF!</v>
      </c>
      <c r="L218" s="165">
        <f t="shared" si="100"/>
        <v>0</v>
      </c>
      <c r="M218" s="165" t="e">
        <f t="shared" si="101"/>
        <v>#REF!</v>
      </c>
      <c r="N218" s="165" t="e">
        <f t="shared" si="102"/>
        <v>#REF!</v>
      </c>
      <c r="O218" s="197">
        <f>L223</f>
        <v>0.7233480521370248</v>
      </c>
      <c r="P218" s="197" t="e">
        <f t="shared" ref="P218:Q218" si="103">M223</f>
        <v>#REF!</v>
      </c>
      <c r="Q218" s="197" t="e">
        <f t="shared" si="103"/>
        <v>#REF!</v>
      </c>
    </row>
    <row r="219" spans="1:18" s="103" customFormat="1">
      <c r="A219" s="120"/>
      <c r="B219" s="120" t="s">
        <v>372</v>
      </c>
      <c r="C219" s="121" t="s">
        <v>373</v>
      </c>
      <c r="D219" s="122" t="s">
        <v>235</v>
      </c>
      <c r="E219" s="123">
        <v>1</v>
      </c>
      <c r="F219" s="124">
        <v>165.52</v>
      </c>
      <c r="G219" s="124">
        <f>ROUND(E219*F219,2)</f>
        <v>165.52</v>
      </c>
      <c r="H219" s="149">
        <f t="shared" si="92"/>
        <v>496.56000000000006</v>
      </c>
      <c r="I219" s="149" t="e">
        <f>#REF!*12</f>
        <v>#REF!</v>
      </c>
      <c r="J219" s="149" t="e">
        <f>15*#REF!</f>
        <v>#REF!</v>
      </c>
      <c r="K219" s="150" t="e">
        <f t="shared" si="99"/>
        <v>#REF!</v>
      </c>
      <c r="L219" s="165">
        <f t="shared" si="100"/>
        <v>4.631666134998853</v>
      </c>
      <c r="M219" s="165" t="e">
        <f t="shared" si="101"/>
        <v>#REF!</v>
      </c>
      <c r="N219" s="165" t="e">
        <f t="shared" si="102"/>
        <v>#REF!</v>
      </c>
      <c r="O219" s="197">
        <f>L224+L228+L226</f>
        <v>13.069514167548114</v>
      </c>
      <c r="P219" s="197" t="e">
        <f>M224+M228+M226</f>
        <v>#REF!</v>
      </c>
      <c r="Q219" s="197" t="e">
        <f>N224+N228+N226</f>
        <v>#REF!</v>
      </c>
    </row>
    <row r="220" spans="1:18" s="103" customFormat="1" ht="25.5">
      <c r="A220" s="120"/>
      <c r="B220" s="120" t="s">
        <v>374</v>
      </c>
      <c r="C220" s="121" t="s">
        <v>375</v>
      </c>
      <c r="D220" s="122" t="s">
        <v>218</v>
      </c>
      <c r="E220" s="123">
        <v>3</v>
      </c>
      <c r="F220" s="124">
        <v>17.18</v>
      </c>
      <c r="G220" s="124">
        <f>ROUND(E220*F220,2)</f>
        <v>51.54</v>
      </c>
      <c r="H220" s="149">
        <f t="shared" si="92"/>
        <v>154.62</v>
      </c>
      <c r="I220" s="149" t="e">
        <f>#REF!*12</f>
        <v>#REF!</v>
      </c>
      <c r="J220" s="149" t="e">
        <f>15*#REF!</f>
        <v>#REF!</v>
      </c>
      <c r="K220" s="150" t="e">
        <f t="shared" ref="K220:K221" si="104">J220+I220+H220</f>
        <v>#REF!</v>
      </c>
      <c r="L220" s="165">
        <f t="shared" si="100"/>
        <v>1.4422189016302611</v>
      </c>
      <c r="M220" s="165" t="e">
        <f t="shared" si="101"/>
        <v>#REF!</v>
      </c>
      <c r="N220" s="165" t="e">
        <f t="shared" si="102"/>
        <v>#REF!</v>
      </c>
      <c r="O220" s="197">
        <f>L220+L219</f>
        <v>6.0738850366291146</v>
      </c>
      <c r="P220" s="197" t="e">
        <f t="shared" ref="P220:Q220" si="105">M220+M219</f>
        <v>#REF!</v>
      </c>
      <c r="Q220" s="197" t="e">
        <f t="shared" si="105"/>
        <v>#REF!</v>
      </c>
    </row>
    <row r="221" spans="1:18" s="103" customFormat="1">
      <c r="A221" s="125" t="s">
        <v>35</v>
      </c>
      <c r="B221" s="125"/>
      <c r="C221" s="126" t="s">
        <v>328</v>
      </c>
      <c r="D221" s="127"/>
      <c r="E221" s="100"/>
      <c r="F221" s="128"/>
      <c r="G221" s="128"/>
      <c r="H221" s="149">
        <f t="shared" si="92"/>
        <v>0</v>
      </c>
      <c r="I221" s="149" t="e">
        <f>#REF!*12</f>
        <v>#REF!</v>
      </c>
      <c r="J221" s="149" t="e">
        <f>15*#REF!</f>
        <v>#REF!</v>
      </c>
      <c r="K221" s="150" t="e">
        <f t="shared" si="104"/>
        <v>#REF!</v>
      </c>
      <c r="L221" s="165">
        <f t="shared" si="100"/>
        <v>0</v>
      </c>
      <c r="M221" s="165" t="e">
        <f t="shared" si="101"/>
        <v>#REF!</v>
      </c>
      <c r="N221" s="165" t="e">
        <f t="shared" si="102"/>
        <v>#REF!</v>
      </c>
      <c r="O221" s="197">
        <f>SUM(L229:L233)</f>
        <v>47.80421192838714</v>
      </c>
    </row>
    <row r="222" spans="1:18" s="103" customFormat="1">
      <c r="A222" s="125" t="s">
        <v>88</v>
      </c>
      <c r="B222" s="125"/>
      <c r="C222" s="126" t="s">
        <v>339</v>
      </c>
      <c r="D222" s="127"/>
      <c r="E222" s="100"/>
      <c r="F222" s="128"/>
      <c r="G222" s="128"/>
      <c r="H222" s="149">
        <f>G222*3</f>
        <v>0</v>
      </c>
      <c r="I222" s="149" t="e">
        <f>#REF!*12</f>
        <v>#REF!</v>
      </c>
      <c r="J222" s="149" t="e">
        <f>15*#REF!</f>
        <v>#REF!</v>
      </c>
      <c r="K222" s="150" t="e">
        <f t="shared" ref="K222" si="106">J222+I222+H222</f>
        <v>#REF!</v>
      </c>
      <c r="L222" s="165">
        <f t="shared" si="100"/>
        <v>0</v>
      </c>
      <c r="M222" s="165" t="e">
        <f t="shared" si="101"/>
        <v>#REF!</v>
      </c>
      <c r="N222" s="165" t="e">
        <f t="shared" si="102"/>
        <v>#REF!</v>
      </c>
    </row>
    <row r="223" spans="1:18" s="103" customFormat="1" ht="25.5">
      <c r="A223" s="120"/>
      <c r="B223" s="120" t="s">
        <v>89</v>
      </c>
      <c r="C223" s="121" t="s">
        <v>340</v>
      </c>
      <c r="D223" s="122" t="s">
        <v>235</v>
      </c>
      <c r="E223" s="123">
        <v>1</v>
      </c>
      <c r="F223" s="124">
        <v>25.85</v>
      </c>
      <c r="G223" s="124">
        <f t="shared" ref="G223:G233" si="107">ROUND(E223*F223,2)</f>
        <v>25.85</v>
      </c>
      <c r="H223" s="149">
        <f t="shared" ref="H223:H245" si="108">G223*3</f>
        <v>77.550000000000011</v>
      </c>
      <c r="I223" s="149" t="e">
        <f>#REF!*12</f>
        <v>#REF!</v>
      </c>
      <c r="J223" s="149" t="e">
        <f>15*#REF!</f>
        <v>#REF!</v>
      </c>
      <c r="K223" s="150" t="e">
        <f t="shared" ref="K223:K233" si="109">J223+I223+H223</f>
        <v>#REF!</v>
      </c>
      <c r="L223" s="165">
        <f t="shared" si="100"/>
        <v>0.7233480521370248</v>
      </c>
      <c r="M223" s="165" t="e">
        <f t="shared" si="101"/>
        <v>#REF!</v>
      </c>
      <c r="N223" s="165" t="e">
        <f t="shared" si="102"/>
        <v>#REF!</v>
      </c>
    </row>
    <row r="224" spans="1:18" s="103" customFormat="1">
      <c r="A224" s="120"/>
      <c r="B224" s="120" t="s">
        <v>90</v>
      </c>
      <c r="C224" s="121" t="s">
        <v>341</v>
      </c>
      <c r="D224" s="122" t="s">
        <v>235</v>
      </c>
      <c r="E224" s="123">
        <v>1</v>
      </c>
      <c r="F224" s="124">
        <v>57.89</v>
      </c>
      <c r="G224" s="124">
        <f t="shared" si="107"/>
        <v>57.89</v>
      </c>
      <c r="H224" s="149">
        <f t="shared" si="108"/>
        <v>173.67000000000002</v>
      </c>
      <c r="I224" s="149" t="e">
        <f>#REF!*12</f>
        <v>#REF!</v>
      </c>
      <c r="J224" s="149" t="e">
        <f>15*#REF!</f>
        <v>#REF!</v>
      </c>
      <c r="K224" s="150" t="e">
        <f t="shared" si="109"/>
        <v>#REF!</v>
      </c>
      <c r="L224" s="165">
        <f t="shared" si="100"/>
        <v>1.6199078815556038</v>
      </c>
      <c r="M224" s="165" t="e">
        <f t="shared" si="101"/>
        <v>#REF!</v>
      </c>
      <c r="N224" s="165" t="e">
        <f t="shared" si="102"/>
        <v>#REF!</v>
      </c>
    </row>
    <row r="225" spans="1:17" s="103" customFormat="1" ht="51">
      <c r="A225" s="120"/>
      <c r="B225" s="120" t="s">
        <v>91</v>
      </c>
      <c r="C225" s="121" t="s">
        <v>425</v>
      </c>
      <c r="D225" s="122" t="s">
        <v>235</v>
      </c>
      <c r="E225" s="123">
        <v>1</v>
      </c>
      <c r="F225" s="124">
        <v>242.18</v>
      </c>
      <c r="G225" s="124">
        <f t="shared" si="107"/>
        <v>242.18</v>
      </c>
      <c r="H225" s="149">
        <f t="shared" si="108"/>
        <v>726.54</v>
      </c>
      <c r="I225" s="149" t="e">
        <f>#REF!*12</f>
        <v>#REF!</v>
      </c>
      <c r="J225" s="149" t="e">
        <f>15*#REF!</f>
        <v>#REF!</v>
      </c>
      <c r="K225" s="150" t="e">
        <f t="shared" si="109"/>
        <v>#REF!</v>
      </c>
      <c r="L225" s="165">
        <f t="shared" si="100"/>
        <v>6.7768058517038545</v>
      </c>
      <c r="M225" s="165" t="e">
        <f t="shared" si="101"/>
        <v>#REF!</v>
      </c>
      <c r="N225" s="165" t="e">
        <f t="shared" si="102"/>
        <v>#REF!</v>
      </c>
    </row>
    <row r="226" spans="1:17" s="103" customFormat="1" ht="51">
      <c r="A226" s="120"/>
      <c r="B226" s="120" t="s">
        <v>343</v>
      </c>
      <c r="C226" s="121" t="s">
        <v>426</v>
      </c>
      <c r="D226" s="122" t="s">
        <v>235</v>
      </c>
      <c r="E226" s="123">
        <v>1</v>
      </c>
      <c r="F226" s="124">
        <v>217.24</v>
      </c>
      <c r="G226" s="124">
        <f t="shared" si="107"/>
        <v>217.24</v>
      </c>
      <c r="H226" s="149">
        <f t="shared" si="108"/>
        <v>651.72</v>
      </c>
      <c r="I226" s="149" t="e">
        <f>#REF!*12</f>
        <v>#REF!</v>
      </c>
      <c r="J226" s="149" t="e">
        <f>15*#REF!</f>
        <v>#REF!</v>
      </c>
      <c r="K226" s="150" t="e">
        <f t="shared" si="109"/>
        <v>#REF!</v>
      </c>
      <c r="L226" s="165">
        <f t="shared" si="100"/>
        <v>6.0789218896033752</v>
      </c>
      <c r="M226" s="165" t="e">
        <f t="shared" si="101"/>
        <v>#REF!</v>
      </c>
      <c r="N226" s="165" t="e">
        <f t="shared" si="102"/>
        <v>#REF!</v>
      </c>
    </row>
    <row r="227" spans="1:17" s="103" customFormat="1">
      <c r="A227" s="120"/>
      <c r="B227" s="120" t="s">
        <v>344</v>
      </c>
      <c r="C227" s="121" t="s">
        <v>342</v>
      </c>
      <c r="D227" s="122" t="s">
        <v>235</v>
      </c>
      <c r="E227" s="123">
        <v>1</v>
      </c>
      <c r="F227" s="124">
        <v>345.82</v>
      </c>
      <c r="G227" s="124">
        <f t="shared" si="107"/>
        <v>345.82</v>
      </c>
      <c r="H227" s="149">
        <f t="shared" si="108"/>
        <v>1037.46</v>
      </c>
      <c r="I227" s="149" t="e">
        <f>#REF!*12</f>
        <v>#REF!</v>
      </c>
      <c r="J227" s="149" t="e">
        <f>15*#REF!</f>
        <v>#REF!</v>
      </c>
      <c r="K227" s="150" t="e">
        <f t="shared" si="109"/>
        <v>#REF!</v>
      </c>
      <c r="L227" s="165">
        <f t="shared" si="100"/>
        <v>9.6769138642176351</v>
      </c>
      <c r="M227" s="165" t="e">
        <f t="shared" si="101"/>
        <v>#REF!</v>
      </c>
      <c r="N227" s="165" t="e">
        <f t="shared" si="102"/>
        <v>#REF!</v>
      </c>
    </row>
    <row r="228" spans="1:17" s="103" customFormat="1" ht="51">
      <c r="A228" s="120"/>
      <c r="B228" s="120" t="s">
        <v>345</v>
      </c>
      <c r="C228" s="121" t="s">
        <v>427</v>
      </c>
      <c r="D228" s="122" t="s">
        <v>235</v>
      </c>
      <c r="E228" s="123">
        <v>1</v>
      </c>
      <c r="F228" s="124">
        <v>191.93</v>
      </c>
      <c r="G228" s="124">
        <f t="shared" si="107"/>
        <v>191.93</v>
      </c>
      <c r="H228" s="149">
        <f t="shared" si="108"/>
        <v>575.79</v>
      </c>
      <c r="I228" s="149" t="e">
        <f>#REF!*12</f>
        <v>#REF!</v>
      </c>
      <c r="J228" s="149" t="e">
        <f>15*#REF!</f>
        <v>#REF!</v>
      </c>
      <c r="K228" s="150" t="e">
        <f t="shared" si="109"/>
        <v>#REF!</v>
      </c>
      <c r="L228" s="165">
        <f t="shared" si="100"/>
        <v>5.3706843963891355</v>
      </c>
      <c r="M228" s="165" t="e">
        <f t="shared" si="101"/>
        <v>#REF!</v>
      </c>
      <c r="N228" s="165" t="e">
        <f t="shared" si="102"/>
        <v>#REF!</v>
      </c>
    </row>
    <row r="229" spans="1:17" s="103" customFormat="1">
      <c r="A229" s="120"/>
      <c r="B229" s="120" t="s">
        <v>89</v>
      </c>
      <c r="C229" s="121" t="s">
        <v>382</v>
      </c>
      <c r="D229" s="122" t="s">
        <v>235</v>
      </c>
      <c r="E229" s="123">
        <v>1</v>
      </c>
      <c r="F229" s="124">
        <v>655.25</v>
      </c>
      <c r="G229" s="124">
        <f t="shared" si="107"/>
        <v>655.25</v>
      </c>
      <c r="H229" s="149">
        <f t="shared" si="108"/>
        <v>1965.75</v>
      </c>
      <c r="K229" s="150">
        <f t="shared" si="109"/>
        <v>1965.75</v>
      </c>
      <c r="L229" s="165">
        <f t="shared" si="100"/>
        <v>18.3355439521387</v>
      </c>
      <c r="M229" s="165" t="e">
        <f t="shared" si="101"/>
        <v>#REF!</v>
      </c>
      <c r="N229" s="165" t="e">
        <f t="shared" si="102"/>
        <v>#REF!</v>
      </c>
    </row>
    <row r="230" spans="1:17" s="103" customFormat="1">
      <c r="A230" s="120"/>
      <c r="B230" s="120" t="s">
        <v>90</v>
      </c>
      <c r="C230" s="121" t="s">
        <v>428</v>
      </c>
      <c r="D230" s="122" t="s">
        <v>235</v>
      </c>
      <c r="E230" s="123">
        <v>1</v>
      </c>
      <c r="F230" s="124">
        <v>141.91</v>
      </c>
      <c r="G230" s="124">
        <f t="shared" si="107"/>
        <v>141.91</v>
      </c>
      <c r="H230" s="149">
        <f t="shared" si="108"/>
        <v>425.73</v>
      </c>
      <c r="I230" s="149" t="e">
        <f>#REF!*12</f>
        <v>#REF!</v>
      </c>
      <c r="J230" s="149" t="e">
        <f>15*#REF!</f>
        <v>#REF!</v>
      </c>
      <c r="K230" s="150" t="e">
        <f t="shared" si="109"/>
        <v>#REF!</v>
      </c>
      <c r="L230" s="165">
        <f t="shared" si="100"/>
        <v>3.9709989198748619</v>
      </c>
      <c r="M230" s="165" t="e">
        <f t="shared" si="101"/>
        <v>#REF!</v>
      </c>
      <c r="N230" s="165" t="e">
        <f t="shared" si="102"/>
        <v>#REF!</v>
      </c>
    </row>
    <row r="231" spans="1:17" s="103" customFormat="1">
      <c r="A231" s="120"/>
      <c r="B231" s="120" t="s">
        <v>90</v>
      </c>
      <c r="C231" s="121" t="s">
        <v>383</v>
      </c>
      <c r="D231" s="122" t="s">
        <v>235</v>
      </c>
      <c r="E231" s="123">
        <v>3</v>
      </c>
      <c r="F231" s="124">
        <v>141.91</v>
      </c>
      <c r="G231" s="124">
        <f t="shared" si="107"/>
        <v>425.73</v>
      </c>
      <c r="H231" s="149">
        <f t="shared" si="108"/>
        <v>1277.19</v>
      </c>
      <c r="K231" s="150">
        <f t="shared" si="109"/>
        <v>1277.19</v>
      </c>
      <c r="L231" s="165">
        <f t="shared" si="100"/>
        <v>11.912996759624585</v>
      </c>
      <c r="M231" s="165" t="e">
        <f t="shared" si="101"/>
        <v>#REF!</v>
      </c>
      <c r="N231" s="165" t="e">
        <f t="shared" si="102"/>
        <v>#REF!</v>
      </c>
    </row>
    <row r="232" spans="1:17" s="103" customFormat="1">
      <c r="A232" s="120"/>
      <c r="B232" s="120" t="s">
        <v>91</v>
      </c>
      <c r="C232" s="121" t="s">
        <v>384</v>
      </c>
      <c r="D232" s="122" t="s">
        <v>235</v>
      </c>
      <c r="E232" s="123">
        <v>1</v>
      </c>
      <c r="F232" s="124">
        <v>151.31</v>
      </c>
      <c r="G232" s="124">
        <f t="shared" si="107"/>
        <v>151.31</v>
      </c>
      <c r="H232" s="149">
        <f t="shared" si="108"/>
        <v>453.93</v>
      </c>
      <c r="K232" s="150">
        <f t="shared" si="109"/>
        <v>453.93</v>
      </c>
      <c r="L232" s="165">
        <f t="shared" si="100"/>
        <v>4.2340345751974162</v>
      </c>
      <c r="M232" s="165" t="e">
        <f t="shared" si="101"/>
        <v>#REF!</v>
      </c>
      <c r="N232" s="165" t="e">
        <f t="shared" si="102"/>
        <v>#REF!</v>
      </c>
    </row>
    <row r="233" spans="1:17" s="103" customFormat="1" ht="25.5">
      <c r="A233" s="120"/>
      <c r="B233" s="120" t="s">
        <v>91</v>
      </c>
      <c r="C233" s="121" t="s">
        <v>385</v>
      </c>
      <c r="D233" s="122" t="s">
        <v>235</v>
      </c>
      <c r="E233" s="123">
        <v>1</v>
      </c>
      <c r="F233" s="124">
        <v>334.16</v>
      </c>
      <c r="G233" s="124">
        <f t="shared" si="107"/>
        <v>334.16</v>
      </c>
      <c r="H233" s="149">
        <f t="shared" si="108"/>
        <v>1002.48</v>
      </c>
      <c r="K233" s="150">
        <f t="shared" si="109"/>
        <v>1002.48</v>
      </c>
      <c r="L233" s="165">
        <f t="shared" si="100"/>
        <v>9.350637721551573</v>
      </c>
      <c r="M233" s="165" t="e">
        <f t="shared" si="101"/>
        <v>#REF!</v>
      </c>
      <c r="N233" s="165" t="e">
        <f t="shared" si="102"/>
        <v>#REF!</v>
      </c>
    </row>
    <row r="234" spans="1:17" s="103" customFormat="1">
      <c r="A234" s="33"/>
      <c r="B234" s="129"/>
      <c r="C234" s="130" t="s">
        <v>220</v>
      </c>
      <c r="D234" s="129"/>
      <c r="E234" s="131"/>
      <c r="F234" s="132"/>
      <c r="G234" s="133"/>
      <c r="H234" s="153">
        <f t="shared" ref="H234:J234" si="110">SUM(H216:H233)</f>
        <v>10720.980000000001</v>
      </c>
      <c r="I234" s="153" t="e">
        <f t="shared" si="110"/>
        <v>#REF!</v>
      </c>
      <c r="J234" s="153" t="e">
        <f t="shared" si="110"/>
        <v>#REF!</v>
      </c>
      <c r="K234" s="153" t="e">
        <f>SUM(K216:K233)</f>
        <v>#REF!</v>
      </c>
      <c r="L234" s="165">
        <f t="shared" si="100"/>
        <v>100.00000000000001</v>
      </c>
      <c r="M234" s="165" t="e">
        <f t="shared" si="101"/>
        <v>#REF!</v>
      </c>
      <c r="N234" s="165" t="e">
        <f t="shared" si="102"/>
        <v>#REF!</v>
      </c>
    </row>
    <row r="235" spans="1:17" s="103" customFormat="1">
      <c r="A235" s="152"/>
      <c r="B235" s="152"/>
      <c r="C235" s="152"/>
      <c r="D235" s="152"/>
      <c r="E235" s="152"/>
      <c r="F235" s="152"/>
      <c r="G235" s="152"/>
      <c r="H235" s="161" t="e">
        <f>H234/$K$234</f>
        <v>#REF!</v>
      </c>
      <c r="I235" s="161" t="e">
        <f t="shared" ref="I235:J235" si="111">I234/$K$234</f>
        <v>#REF!</v>
      </c>
      <c r="J235" s="161" t="e">
        <f t="shared" si="111"/>
        <v>#REF!</v>
      </c>
      <c r="K235" s="198">
        <v>2.5999999999999999E-2</v>
      </c>
      <c r="L235" s="163"/>
      <c r="M235" s="165"/>
      <c r="N235" s="165"/>
    </row>
    <row r="236" spans="1:17" s="103" customFormat="1">
      <c r="A236" s="152"/>
      <c r="B236" s="152"/>
      <c r="C236" s="152"/>
      <c r="D236" s="152"/>
      <c r="E236" s="152"/>
      <c r="F236" s="152"/>
      <c r="G236" s="152"/>
      <c r="H236" s="222" t="e">
        <f>H235*100*$K$235</f>
        <v>#REF!</v>
      </c>
      <c r="I236" s="222" t="e">
        <f t="shared" ref="I236:J236" si="112">I235*100*$K$235</f>
        <v>#REF!</v>
      </c>
      <c r="J236" s="222" t="e">
        <f t="shared" si="112"/>
        <v>#REF!</v>
      </c>
      <c r="K236" s="153"/>
      <c r="M236" s="165"/>
      <c r="N236" s="165"/>
    </row>
    <row r="237" spans="1:17" s="103" customFormat="1">
      <c r="A237" s="152"/>
      <c r="B237" s="152"/>
      <c r="C237" s="152"/>
      <c r="D237" s="152"/>
      <c r="E237" s="152"/>
      <c r="F237" s="152"/>
      <c r="G237" s="152"/>
      <c r="H237" s="152"/>
      <c r="I237" s="152"/>
      <c r="J237" s="152"/>
      <c r="K237" s="153"/>
      <c r="L237" s="163"/>
      <c r="M237" s="165"/>
      <c r="N237" s="165"/>
    </row>
    <row r="238" spans="1:17" s="103" customFormat="1">
      <c r="A238" s="152"/>
      <c r="B238" s="152"/>
      <c r="C238" s="152"/>
      <c r="D238" s="152"/>
      <c r="E238" s="152"/>
      <c r="F238" s="152"/>
      <c r="G238" s="152"/>
      <c r="H238" s="151">
        <v>47</v>
      </c>
      <c r="I238" s="151">
        <v>43</v>
      </c>
      <c r="J238" s="151">
        <v>38</v>
      </c>
      <c r="K238" s="151" t="s">
        <v>435</v>
      </c>
      <c r="L238" s="151">
        <v>47</v>
      </c>
      <c r="M238" s="151">
        <v>43</v>
      </c>
      <c r="N238" s="151">
        <v>38</v>
      </c>
      <c r="O238" s="151">
        <v>47</v>
      </c>
      <c r="P238" s="151">
        <v>43</v>
      </c>
      <c r="Q238" s="151">
        <v>38</v>
      </c>
    </row>
    <row r="239" spans="1:17" s="103" customFormat="1" ht="15" customHeight="1">
      <c r="A239" s="112">
        <v>8</v>
      </c>
      <c r="B239" s="112"/>
      <c r="C239" s="113" t="s">
        <v>346</v>
      </c>
      <c r="D239" s="114"/>
      <c r="E239" s="134"/>
      <c r="F239" s="115"/>
      <c r="G239" s="115"/>
      <c r="H239" s="150"/>
      <c r="L239" s="199" t="s">
        <v>185</v>
      </c>
      <c r="M239" s="199" t="s">
        <v>185</v>
      </c>
      <c r="N239" s="199" t="s">
        <v>185</v>
      </c>
      <c r="O239" s="199" t="s">
        <v>185</v>
      </c>
      <c r="P239" s="199" t="s">
        <v>185</v>
      </c>
      <c r="Q239" s="199" t="s">
        <v>185</v>
      </c>
    </row>
    <row r="240" spans="1:17">
      <c r="A240" s="120"/>
      <c r="B240" s="120" t="s">
        <v>37</v>
      </c>
      <c r="C240" s="121" t="s">
        <v>347</v>
      </c>
      <c r="D240" s="122" t="s">
        <v>212</v>
      </c>
      <c r="E240" s="123">
        <v>47.68</v>
      </c>
      <c r="F240" s="124">
        <v>7.33</v>
      </c>
      <c r="G240" s="124">
        <f>ROUND(E240*F240,2)</f>
        <v>349.49</v>
      </c>
      <c r="H240" s="149">
        <f t="shared" si="108"/>
        <v>1048.47</v>
      </c>
      <c r="I240" s="149" t="e">
        <f>#REF!*12</f>
        <v>#REF!</v>
      </c>
      <c r="J240" s="149" t="e">
        <f>15*#REF!</f>
        <v>#REF!</v>
      </c>
      <c r="K240" s="150" t="e">
        <f t="shared" ref="K240:K244" si="113">J240+I240+H240</f>
        <v>#REF!</v>
      </c>
      <c r="L240" s="165">
        <f>H240*100/$H$245</f>
        <v>49.4993272431131</v>
      </c>
      <c r="M240" s="165" t="e">
        <f>I240*100/$I$245</f>
        <v>#REF!</v>
      </c>
      <c r="N240" s="165" t="e">
        <f>J240*100/$J$245</f>
        <v>#REF!</v>
      </c>
      <c r="O240" s="223">
        <f>L240</f>
        <v>49.4993272431131</v>
      </c>
      <c r="P240" s="223" t="e">
        <f t="shared" ref="P240:Q240" si="114">M240</f>
        <v>#REF!</v>
      </c>
      <c r="Q240" s="223" t="e">
        <f t="shared" si="114"/>
        <v>#REF!</v>
      </c>
    </row>
    <row r="241" spans="1:17" ht="25.5">
      <c r="A241" s="120"/>
      <c r="B241" s="120" t="s">
        <v>38</v>
      </c>
      <c r="C241" s="121" t="s">
        <v>348</v>
      </c>
      <c r="D241" s="122" t="s">
        <v>235</v>
      </c>
      <c r="E241" s="123">
        <v>1</v>
      </c>
      <c r="F241" s="124">
        <v>39.75</v>
      </c>
      <c r="G241" s="124">
        <f>ROUND(E241*F241,2)</f>
        <v>39.75</v>
      </c>
      <c r="H241" s="149">
        <f t="shared" si="108"/>
        <v>119.25</v>
      </c>
      <c r="I241" s="149" t="e">
        <f>#REF!*12</f>
        <v>#REF!</v>
      </c>
      <c r="J241" s="149" t="e">
        <f>15*#REF!</f>
        <v>#REF!</v>
      </c>
      <c r="K241" s="150" t="e">
        <f t="shared" si="113"/>
        <v>#REF!</v>
      </c>
      <c r="L241" s="165">
        <f t="shared" ref="L241:L244" si="115">H241*100/$H$245</f>
        <v>5.6299128956872755</v>
      </c>
      <c r="M241" s="165" t="e">
        <f t="shared" ref="M241:M244" si="116">I241*100/$I$245</f>
        <v>#REF!</v>
      </c>
      <c r="N241" s="165" t="e">
        <f t="shared" ref="N241:N244" si="117">J241*100/$J$245</f>
        <v>#REF!</v>
      </c>
      <c r="O241" s="223">
        <f>L243</f>
        <v>12.415551306564693</v>
      </c>
      <c r="P241" s="223" t="e">
        <f t="shared" ref="P241:Q241" si="118">M243</f>
        <v>#REF!</v>
      </c>
      <c r="Q241" s="223" t="e">
        <f t="shared" si="118"/>
        <v>#REF!</v>
      </c>
    </row>
    <row r="242" spans="1:17">
      <c r="A242" s="120"/>
      <c r="B242" s="120" t="s">
        <v>39</v>
      </c>
      <c r="C242" s="121" t="s">
        <v>377</v>
      </c>
      <c r="D242" s="122" t="s">
        <v>235</v>
      </c>
      <c r="E242" s="123">
        <v>1</v>
      </c>
      <c r="F242" s="124">
        <v>47.01</v>
      </c>
      <c r="G242" s="124">
        <f>ROUND(E242*F242,2)</f>
        <v>47.01</v>
      </c>
      <c r="H242" s="149">
        <f t="shared" si="108"/>
        <v>141.03</v>
      </c>
      <c r="I242" s="149" t="e">
        <f>#REF!*12</f>
        <v>#REF!</v>
      </c>
      <c r="J242" s="149" t="e">
        <f>15*#REF!</f>
        <v>#REF!</v>
      </c>
      <c r="K242" s="150" t="e">
        <f t="shared" si="113"/>
        <v>#REF!</v>
      </c>
      <c r="L242" s="165">
        <f t="shared" si="115"/>
        <v>6.6581686849373289</v>
      </c>
      <c r="M242" s="165" t="e">
        <f t="shared" si="116"/>
        <v>#REF!</v>
      </c>
      <c r="N242" s="165" t="e">
        <f t="shared" si="117"/>
        <v>#REF!</v>
      </c>
      <c r="O242" s="223">
        <f>L244</f>
        <v>25.797039869697613</v>
      </c>
      <c r="P242" s="223" t="e">
        <f t="shared" ref="P242:Q242" si="119">M244</f>
        <v>#REF!</v>
      </c>
      <c r="Q242" s="223" t="e">
        <f t="shared" si="119"/>
        <v>#REF!</v>
      </c>
    </row>
    <row r="243" spans="1:17" ht="25.5">
      <c r="A243" s="120"/>
      <c r="B243" s="120" t="s">
        <v>403</v>
      </c>
      <c r="C243" s="121" t="s">
        <v>404</v>
      </c>
      <c r="D243" s="122" t="s">
        <v>235</v>
      </c>
      <c r="E243" s="123">
        <v>1</v>
      </c>
      <c r="F243" s="124">
        <v>87.66</v>
      </c>
      <c r="G243" s="124">
        <f t="shared" ref="G243:G244" si="120">ROUND(E243*F243,2)</f>
        <v>87.66</v>
      </c>
      <c r="H243" s="149">
        <f t="shared" si="108"/>
        <v>262.98</v>
      </c>
      <c r="I243" s="149" t="e">
        <f>#REF!*12</f>
        <v>#REF!</v>
      </c>
      <c r="J243" s="149" t="e">
        <f>15*#REF!</f>
        <v>#REF!</v>
      </c>
      <c r="K243" s="150" t="e">
        <f t="shared" si="113"/>
        <v>#REF!</v>
      </c>
      <c r="L243" s="165">
        <f t="shared" si="115"/>
        <v>12.415551306564693</v>
      </c>
      <c r="M243" s="165" t="e">
        <f t="shared" si="116"/>
        <v>#REF!</v>
      </c>
      <c r="N243" s="165" t="e">
        <f t="shared" si="117"/>
        <v>#REF!</v>
      </c>
      <c r="O243" s="223">
        <f>L242+L241</f>
        <v>12.288081580624604</v>
      </c>
      <c r="P243" s="223" t="e">
        <f t="shared" ref="P243:Q243" si="121">M242+M241</f>
        <v>#REF!</v>
      </c>
      <c r="Q243" s="223" t="e">
        <f t="shared" si="121"/>
        <v>#REF!</v>
      </c>
    </row>
    <row r="244" spans="1:17">
      <c r="A244" s="120"/>
      <c r="B244" s="120" t="s">
        <v>405</v>
      </c>
      <c r="C244" s="121" t="s">
        <v>407</v>
      </c>
      <c r="D244" s="122" t="s">
        <v>235</v>
      </c>
      <c r="E244" s="123">
        <v>1</v>
      </c>
      <c r="F244" s="124">
        <v>182.14</v>
      </c>
      <c r="G244" s="124">
        <f t="shared" si="120"/>
        <v>182.14</v>
      </c>
      <c r="H244" s="149">
        <f t="shared" si="108"/>
        <v>546.41999999999996</v>
      </c>
      <c r="I244" s="149" t="e">
        <f>#REF!*12</f>
        <v>#REF!</v>
      </c>
      <c r="J244" s="149" t="e">
        <f>15*#REF!</f>
        <v>#REF!</v>
      </c>
      <c r="K244" s="150" t="e">
        <f t="shared" si="113"/>
        <v>#REF!</v>
      </c>
      <c r="L244" s="165">
        <f t="shared" si="115"/>
        <v>25.797039869697613</v>
      </c>
      <c r="M244" s="165" t="e">
        <f t="shared" si="116"/>
        <v>#REF!</v>
      </c>
      <c r="N244" s="165" t="e">
        <f t="shared" si="117"/>
        <v>#REF!</v>
      </c>
    </row>
    <row r="245" spans="1:17">
      <c r="A245" s="5"/>
      <c r="B245" s="129"/>
      <c r="C245" s="130" t="s">
        <v>47</v>
      </c>
      <c r="D245" s="129"/>
      <c r="E245" s="147"/>
      <c r="F245" s="148"/>
      <c r="G245" s="133">
        <f>SUM(G240:G244)</f>
        <v>706.05</v>
      </c>
      <c r="H245" s="152">
        <f t="shared" si="108"/>
        <v>2118.1499999999996</v>
      </c>
      <c r="I245" s="152" t="e">
        <f>#REF!*12</f>
        <v>#REF!</v>
      </c>
      <c r="J245" s="152" t="e">
        <f>15*#REF!</f>
        <v>#REF!</v>
      </c>
      <c r="K245" s="153" t="e">
        <f t="shared" ref="K245" si="122">J245+I245+H245</f>
        <v>#REF!</v>
      </c>
      <c r="L245" s="163"/>
      <c r="M245" s="153"/>
      <c r="N245" s="153"/>
    </row>
    <row r="246" spans="1:17">
      <c r="B246" s="155"/>
      <c r="C246" s="154" t="s">
        <v>45</v>
      </c>
      <c r="D246" s="155"/>
      <c r="E246" s="155"/>
      <c r="F246" s="156"/>
      <c r="G246" s="109"/>
      <c r="H246" s="161" t="e">
        <f>H245/$K$245</f>
        <v>#REF!</v>
      </c>
      <c r="I246" s="161" t="e">
        <f t="shared" ref="I246:J246" si="123">I245/$K$245</f>
        <v>#REF!</v>
      </c>
      <c r="J246" s="161" t="e">
        <f t="shared" si="123"/>
        <v>#REF!</v>
      </c>
      <c r="K246" s="198">
        <v>1.2500000000000001E-2</v>
      </c>
      <c r="L246" s="163"/>
      <c r="M246" s="153"/>
      <c r="N246" s="153"/>
    </row>
    <row r="247" spans="1:17">
      <c r="H247" s="222" t="e">
        <f>H246*100*$K$246</f>
        <v>#REF!</v>
      </c>
      <c r="I247" s="222" t="e">
        <f t="shared" ref="I247:J247" si="124">I246*100*$K$246</f>
        <v>#REF!</v>
      </c>
      <c r="J247" s="222" t="e">
        <f t="shared" si="124"/>
        <v>#REF!</v>
      </c>
    </row>
  </sheetData>
  <mergeCells count="2">
    <mergeCell ref="A1:G1"/>
    <mergeCell ref="A3:G3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D677-3695-417B-AA7F-4CF103DE878F}">
  <sheetPr>
    <tabColor rgb="FF00B050"/>
    <pageSetUpPr fitToPage="1"/>
  </sheetPr>
  <dimension ref="A1:W35"/>
  <sheetViews>
    <sheetView view="pageBreakPreview" zoomScaleNormal="100" zoomScaleSheetLayoutView="100" workbookViewId="0">
      <selection activeCell="M15" sqref="M15"/>
    </sheetView>
  </sheetViews>
  <sheetFormatPr defaultColWidth="10.42578125" defaultRowHeight="12.75"/>
  <cols>
    <col min="1" max="1" width="4.85546875" style="28" bestFit="1" customWidth="1"/>
    <col min="2" max="2" width="7.28515625" style="28" bestFit="1" customWidth="1"/>
    <col min="3" max="3" width="60.7109375" style="29" customWidth="1"/>
    <col min="4" max="4" width="5" style="30" bestFit="1" customWidth="1"/>
    <col min="5" max="5" width="9.85546875" style="102" bestFit="1" customWidth="1"/>
    <col min="6" max="6" width="12.140625" style="102" bestFit="1" customWidth="1"/>
    <col min="7" max="7" width="13.28515625" style="102" bestFit="1" customWidth="1"/>
    <col min="8" max="8" width="12.140625" style="102" bestFit="1" customWidth="1"/>
    <col min="9" max="9" width="13.28515625" style="102" bestFit="1" customWidth="1"/>
    <col min="10" max="11" width="12.140625" style="102" bestFit="1" customWidth="1"/>
    <col min="12" max="12" width="13.28515625" style="31" bestFit="1" customWidth="1"/>
    <col min="13" max="13" width="15" style="31" bestFit="1" customWidth="1"/>
    <col min="14" max="14" width="15" style="393" customWidth="1"/>
    <col min="15" max="15" width="12.28515625" style="31" customWidth="1"/>
    <col min="16" max="16" width="4.42578125" style="5" customWidth="1"/>
    <col min="17" max="17" width="13.140625" style="364" bestFit="1" customWidth="1"/>
    <col min="18" max="18" width="11.28515625" style="5" bestFit="1" customWidth="1"/>
    <col min="19" max="19" width="11.42578125" style="5" bestFit="1" customWidth="1"/>
    <col min="20" max="16384" width="10.42578125" style="5"/>
  </cols>
  <sheetData>
    <row r="1" spans="1:23" ht="12" customHeight="1">
      <c r="A1" s="9"/>
      <c r="B1" s="9"/>
      <c r="C1" s="10"/>
      <c r="D1" s="11"/>
      <c r="E1" s="96"/>
      <c r="F1" s="96"/>
      <c r="G1" s="96"/>
      <c r="H1" s="96"/>
      <c r="I1" s="96"/>
      <c r="J1" s="96"/>
      <c r="K1" s="96"/>
      <c r="L1" s="6"/>
      <c r="M1" s="6"/>
      <c r="N1" s="386"/>
      <c r="O1" s="6"/>
    </row>
    <row r="2" spans="1:23" ht="15.75" customHeight="1">
      <c r="A2" s="550" t="s">
        <v>489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</row>
    <row r="3" spans="1:23" ht="6.75" customHeight="1">
      <c r="A3" s="358"/>
      <c r="B3" s="358"/>
      <c r="C3" s="14"/>
      <c r="D3" s="15"/>
      <c r="E3" s="97"/>
      <c r="F3" s="97"/>
      <c r="G3" s="97"/>
      <c r="H3" s="97"/>
      <c r="I3" s="97"/>
      <c r="J3" s="97"/>
      <c r="K3" s="97"/>
      <c r="L3" s="16"/>
      <c r="M3" s="16"/>
      <c r="N3" s="387"/>
      <c r="O3" s="16"/>
    </row>
    <row r="4" spans="1:23" ht="15.75">
      <c r="A4" s="551" t="s">
        <v>804</v>
      </c>
      <c r="B4" s="551"/>
      <c r="C4" s="551"/>
      <c r="D4" s="551"/>
      <c r="E4" s="551"/>
      <c r="F4" s="551"/>
      <c r="G4" s="551"/>
      <c r="H4" s="551"/>
      <c r="I4" s="551"/>
      <c r="J4" s="551"/>
      <c r="K4" s="551"/>
      <c r="L4" s="551"/>
      <c r="M4" s="551"/>
      <c r="N4" s="551"/>
      <c r="O4" s="551"/>
    </row>
    <row r="5" spans="1:23" s="275" customFormat="1" ht="15">
      <c r="A5" s="267" t="s">
        <v>527</v>
      </c>
      <c r="B5" s="268"/>
      <c r="C5" s="269"/>
      <c r="D5" s="270"/>
      <c r="E5" s="271"/>
      <c r="F5" s="272"/>
      <c r="G5" s="273"/>
      <c r="H5" s="272"/>
      <c r="I5" s="272"/>
      <c r="J5" s="272"/>
      <c r="K5" s="272"/>
      <c r="L5" s="272"/>
      <c r="M5" s="272"/>
      <c r="N5" s="388"/>
      <c r="O5" s="274"/>
      <c r="Q5" s="365"/>
    </row>
    <row r="6" spans="1:23" s="275" customFormat="1" ht="15">
      <c r="A6" s="267" t="s">
        <v>532</v>
      </c>
      <c r="B6" s="268"/>
      <c r="C6" s="269"/>
      <c r="D6" s="270"/>
      <c r="E6" s="271"/>
      <c r="F6" s="272"/>
      <c r="G6" s="273"/>
      <c r="H6" s="272"/>
      <c r="I6" s="272"/>
      <c r="J6" s="272"/>
      <c r="K6" s="272"/>
      <c r="L6" s="272"/>
      <c r="M6" s="272"/>
      <c r="N6" s="388"/>
      <c r="O6" s="274"/>
      <c r="Q6" s="365"/>
    </row>
    <row r="7" spans="1:23" s="275" customFormat="1" ht="15">
      <c r="A7" s="267" t="s">
        <v>530</v>
      </c>
      <c r="B7" s="268"/>
      <c r="C7" s="269"/>
      <c r="D7" s="270"/>
      <c r="E7" s="271"/>
      <c r="F7" s="272"/>
      <c r="G7" s="273"/>
      <c r="H7" s="272"/>
      <c r="I7" s="272"/>
      <c r="J7" s="272"/>
      <c r="K7" s="272"/>
      <c r="L7" s="272"/>
      <c r="M7" s="272"/>
      <c r="N7" s="388"/>
      <c r="O7" s="274"/>
      <c r="Q7" s="365"/>
    </row>
    <row r="8" spans="1:23" s="275" customFormat="1" ht="15">
      <c r="A8" s="267" t="s">
        <v>531</v>
      </c>
      <c r="B8" s="268"/>
      <c r="C8" s="269"/>
      <c r="D8" s="270"/>
      <c r="E8" s="271"/>
      <c r="F8" s="272"/>
      <c r="G8" s="273"/>
      <c r="H8" s="272"/>
      <c r="I8" s="272"/>
      <c r="J8" s="272"/>
      <c r="K8" s="272"/>
      <c r="L8" s="272"/>
      <c r="M8" s="272"/>
      <c r="N8" s="388"/>
      <c r="O8" s="274"/>
      <c r="Q8" s="365"/>
    </row>
    <row r="9" spans="1:23" ht="25.5">
      <c r="A9" s="2" t="s">
        <v>202</v>
      </c>
      <c r="B9" s="2" t="s">
        <v>203</v>
      </c>
      <c r="C9" s="3" t="s">
        <v>204</v>
      </c>
      <c r="D9" s="3" t="s">
        <v>205</v>
      </c>
      <c r="E9" s="98" t="s">
        <v>206</v>
      </c>
      <c r="F9" s="98" t="s">
        <v>493</v>
      </c>
      <c r="G9" s="98" t="s">
        <v>494</v>
      </c>
      <c r="H9" s="98" t="s">
        <v>491</v>
      </c>
      <c r="I9" s="98" t="s">
        <v>492</v>
      </c>
      <c r="J9" s="98" t="s">
        <v>495</v>
      </c>
      <c r="K9" s="98" t="s">
        <v>496</v>
      </c>
      <c r="L9" s="4" t="s">
        <v>497</v>
      </c>
      <c r="M9" s="92" t="s">
        <v>498</v>
      </c>
      <c r="N9" s="389" t="s">
        <v>671</v>
      </c>
      <c r="O9" s="92" t="s">
        <v>670</v>
      </c>
    </row>
    <row r="10" spans="1:23" s="63" customFormat="1">
      <c r="A10" s="64"/>
      <c r="B10" s="64"/>
      <c r="C10" s="65"/>
      <c r="D10" s="65"/>
      <c r="E10" s="99"/>
      <c r="F10" s="99"/>
      <c r="G10" s="99"/>
      <c r="H10" s="99"/>
      <c r="I10" s="99"/>
      <c r="J10" s="99"/>
      <c r="K10" s="99"/>
      <c r="L10" s="66"/>
      <c r="M10" s="66"/>
      <c r="N10" s="390"/>
      <c r="O10" s="66"/>
      <c r="Q10" s="366"/>
    </row>
    <row r="11" spans="1:23" s="19" customFormat="1" ht="15" customHeight="1">
      <c r="A11" s="380">
        <v>1</v>
      </c>
      <c r="B11" s="380"/>
      <c r="C11" s="381" t="s">
        <v>58</v>
      </c>
      <c r="D11" s="382" t="s">
        <v>41</v>
      </c>
      <c r="E11" s="383"/>
      <c r="F11" s="383"/>
      <c r="G11" s="383"/>
      <c r="H11" s="383"/>
      <c r="I11" s="383"/>
      <c r="J11" s="383"/>
      <c r="K11" s="383"/>
      <c r="L11" s="384" t="s">
        <v>41</v>
      </c>
      <c r="M11" s="384"/>
      <c r="N11" s="395"/>
      <c r="O11" s="396"/>
      <c r="Q11" s="367"/>
      <c r="R11" s="263"/>
      <c r="S11" s="33"/>
      <c r="T11" s="33"/>
      <c r="U11" s="33"/>
      <c r="V11" s="33"/>
      <c r="W11" s="33"/>
    </row>
    <row r="12" spans="1:23" s="19" customFormat="1" ht="12.75" customHeight="1">
      <c r="A12" s="24"/>
      <c r="B12" s="24" t="s">
        <v>51</v>
      </c>
      <c r="C12" s="25" t="s">
        <v>59</v>
      </c>
      <c r="D12" s="26" t="s">
        <v>60</v>
      </c>
      <c r="E12" s="100">
        <v>7</v>
      </c>
      <c r="F12" s="370">
        <v>0</v>
      </c>
      <c r="G12" s="370">
        <v>12001.190140205943</v>
      </c>
      <c r="H12" s="370">
        <f t="shared" ref="H12" si="0">F12+G12</f>
        <v>12001.190140205943</v>
      </c>
      <c r="I12" s="370">
        <f>H12*(1+'BDI - INFRAESTRUTURA'!$C$23)</f>
        <v>13903.378777428587</v>
      </c>
      <c r="J12" s="370">
        <f t="shared" ref="J12" si="1">E12*F12</f>
        <v>0</v>
      </c>
      <c r="K12" s="370">
        <f t="shared" ref="K12" si="2">E12*G12</f>
        <v>84008.330981441599</v>
      </c>
      <c r="L12" s="371">
        <f t="shared" ref="L12" si="3">H12*E12</f>
        <v>84008.330981441599</v>
      </c>
      <c r="M12" s="371">
        <f>I12*E12</f>
        <v>97323.651442000104</v>
      </c>
      <c r="N12" s="397">
        <f>M12/$M$16</f>
        <v>0.46557988603208866</v>
      </c>
      <c r="O12" s="561">
        <f>M16/$M$28</f>
        <v>5.8578532000000023E-2</v>
      </c>
      <c r="P12" s="549"/>
      <c r="Q12" s="410">
        <v>97323.651442000104</v>
      </c>
      <c r="R12" s="39" t="str">
        <f>IF(Q12=M12,"BOA GAROTO","FAZ BATER")</f>
        <v>BOA GAROTO</v>
      </c>
      <c r="T12" s="33"/>
      <c r="U12" s="33"/>
      <c r="V12" s="33"/>
      <c r="W12" s="33"/>
    </row>
    <row r="13" spans="1:23" s="19" customFormat="1" ht="12.75" customHeight="1">
      <c r="A13" s="24"/>
      <c r="B13" s="24" t="s">
        <v>52</v>
      </c>
      <c r="C13" s="25" t="s">
        <v>61</v>
      </c>
      <c r="D13" s="26" t="s">
        <v>60</v>
      </c>
      <c r="E13" s="100">
        <v>7</v>
      </c>
      <c r="F13" s="370">
        <v>0</v>
      </c>
      <c r="G13" s="370">
        <v>6878.569578888957</v>
      </c>
      <c r="H13" s="370">
        <f t="shared" ref="H13:H15" si="4">F13+G13</f>
        <v>6878.569578888957</v>
      </c>
      <c r="I13" s="370">
        <f>H13*(1+'BDI - INFRAESTRUTURA'!$C$23)</f>
        <v>7968.8228571428572</v>
      </c>
      <c r="J13" s="370">
        <f t="shared" ref="J13:J15" si="5">E13*F13</f>
        <v>0</v>
      </c>
      <c r="K13" s="370">
        <f t="shared" ref="K13:K15" si="6">E13*G13</f>
        <v>48149.987052222699</v>
      </c>
      <c r="L13" s="371">
        <f t="shared" ref="L13:L15" si="7">H13*E13</f>
        <v>48149.987052222699</v>
      </c>
      <c r="M13" s="371">
        <f t="shared" ref="M13:M15" si="8">I13*E13</f>
        <v>55781.760000000002</v>
      </c>
      <c r="N13" s="397">
        <f t="shared" ref="N13:N15" si="9">M13/$M$16</f>
        <v>0.26685050425740164</v>
      </c>
      <c r="O13" s="562"/>
      <c r="Q13" s="410">
        <v>55781.760000000002</v>
      </c>
      <c r="R13" s="39" t="str">
        <f t="shared" ref="R13:R15" si="10">IF(Q13=M13,"BOA GAROTO","FAZ BATER")</f>
        <v>BOA GAROTO</v>
      </c>
      <c r="T13" s="33"/>
      <c r="U13" s="33"/>
      <c r="V13" s="33"/>
      <c r="W13" s="33"/>
    </row>
    <row r="14" spans="1:23" s="19" customFormat="1" ht="12.75" customHeight="1">
      <c r="A14" s="24"/>
      <c r="B14" s="24" t="s">
        <v>53</v>
      </c>
      <c r="C14" s="25" t="s">
        <v>62</v>
      </c>
      <c r="D14" s="26" t="s">
        <v>60</v>
      </c>
      <c r="E14" s="100">
        <v>7</v>
      </c>
      <c r="F14" s="370">
        <v>0</v>
      </c>
      <c r="G14" s="370">
        <v>2970.8465380109742</v>
      </c>
      <c r="H14" s="370">
        <f t="shared" si="4"/>
        <v>2970.8465380109742</v>
      </c>
      <c r="I14" s="370">
        <f>H14*(1+'BDI - INFRAESTRUTURA'!$C$23)</f>
        <v>3441.7257142857138</v>
      </c>
      <c r="J14" s="370">
        <f t="shared" si="5"/>
        <v>0</v>
      </c>
      <c r="K14" s="370">
        <f t="shared" si="6"/>
        <v>20795.92576607682</v>
      </c>
      <c r="L14" s="371">
        <f t="shared" si="7"/>
        <v>20795.92576607682</v>
      </c>
      <c r="M14" s="371">
        <f t="shared" si="8"/>
        <v>24092.079999999998</v>
      </c>
      <c r="N14" s="397">
        <f t="shared" si="9"/>
        <v>0.11525243550238752</v>
      </c>
      <c r="O14" s="562"/>
      <c r="Q14" s="410">
        <v>24092.080000000002</v>
      </c>
      <c r="R14" s="39" t="str">
        <f t="shared" si="10"/>
        <v>BOA GAROTO</v>
      </c>
      <c r="T14" s="33"/>
      <c r="U14" s="33"/>
      <c r="V14" s="33"/>
      <c r="W14" s="33"/>
    </row>
    <row r="15" spans="1:23" s="19" customFormat="1" ht="12.75" customHeight="1">
      <c r="A15" s="24"/>
      <c r="B15" s="24" t="s">
        <v>167</v>
      </c>
      <c r="C15" s="25" t="s">
        <v>63</v>
      </c>
      <c r="D15" s="26" t="s">
        <v>60</v>
      </c>
      <c r="E15" s="100">
        <v>7</v>
      </c>
      <c r="F15" s="370">
        <v>0</v>
      </c>
      <c r="G15" s="370">
        <v>3926.2593254824587</v>
      </c>
      <c r="H15" s="370">
        <f t="shared" si="4"/>
        <v>3926.2593254824587</v>
      </c>
      <c r="I15" s="370">
        <f>H15*(1+'BDI - INFRAESTRUTURA'!$C$23)</f>
        <v>4548.5714285714284</v>
      </c>
      <c r="J15" s="370">
        <f t="shared" si="5"/>
        <v>0</v>
      </c>
      <c r="K15" s="370">
        <f t="shared" si="6"/>
        <v>27483.815278377209</v>
      </c>
      <c r="L15" s="371">
        <f t="shared" si="7"/>
        <v>27483.815278377209</v>
      </c>
      <c r="M15" s="371">
        <f t="shared" si="8"/>
        <v>31840</v>
      </c>
      <c r="N15" s="397">
        <f t="shared" si="9"/>
        <v>0.1523171742081223</v>
      </c>
      <c r="O15" s="562"/>
      <c r="Q15" s="410">
        <v>31840</v>
      </c>
      <c r="R15" s="39" t="str">
        <f t="shared" si="10"/>
        <v>BOA GAROTO</v>
      </c>
      <c r="T15" s="33"/>
      <c r="U15" s="33"/>
      <c r="V15" s="33"/>
      <c r="W15" s="33"/>
    </row>
    <row r="16" spans="1:23" ht="15.75">
      <c r="A16" s="264"/>
      <c r="B16" s="56"/>
      <c r="C16" s="359" t="s">
        <v>220</v>
      </c>
      <c r="D16" s="56"/>
      <c r="E16" s="265"/>
      <c r="F16" s="373"/>
      <c r="G16" s="373"/>
      <c r="H16" s="373"/>
      <c r="I16" s="373"/>
      <c r="J16" s="373"/>
      <c r="K16" s="373"/>
      <c r="L16" s="372">
        <f>SUM(L12:L15)</f>
        <v>180438.05907811836</v>
      </c>
      <c r="M16" s="372">
        <f>SUM(M12:M15)</f>
        <v>209037.49144200009</v>
      </c>
      <c r="N16" s="398">
        <f>M16/$M$27</f>
        <v>0.65671000000000002</v>
      </c>
      <c r="O16" s="563"/>
      <c r="Q16" s="411"/>
    </row>
    <row r="17" spans="1:23" s="19" customFormat="1" ht="12.75" customHeight="1">
      <c r="A17" s="380" t="s">
        <v>52</v>
      </c>
      <c r="B17" s="380"/>
      <c r="C17" s="381" t="s">
        <v>359</v>
      </c>
      <c r="D17" s="382"/>
      <c r="E17" s="383"/>
      <c r="F17" s="383"/>
      <c r="G17" s="383"/>
      <c r="H17" s="383"/>
      <c r="I17" s="383"/>
      <c r="J17" s="383"/>
      <c r="K17" s="383"/>
      <c r="L17" s="384"/>
      <c r="M17" s="384"/>
      <c r="N17" s="395"/>
      <c r="O17" s="395"/>
      <c r="Q17" s="410"/>
      <c r="T17" s="33"/>
      <c r="U17" s="33"/>
      <c r="V17" s="33"/>
      <c r="W17" s="33"/>
    </row>
    <row r="18" spans="1:23" s="19" customFormat="1" ht="12.75" customHeight="1">
      <c r="A18" s="24"/>
      <c r="B18" s="24" t="s">
        <v>68</v>
      </c>
      <c r="C18" s="25" t="s">
        <v>677</v>
      </c>
      <c r="D18" s="26" t="s">
        <v>60</v>
      </c>
      <c r="E18" s="100">
        <v>7</v>
      </c>
      <c r="F18" s="370">
        <v>986.49731796041669</v>
      </c>
      <c r="G18" s="370"/>
      <c r="H18" s="370">
        <f t="shared" ref="H18:H21" si="11">F18+G18</f>
        <v>986.49731796041669</v>
      </c>
      <c r="I18" s="370">
        <f>H18*(1+'BDI - INFRAESTRUTURA'!$C$23)</f>
        <v>1142.8571428571429</v>
      </c>
      <c r="J18" s="370">
        <f t="shared" ref="J18:J21" si="12">E18*F18</f>
        <v>6905.4812257229169</v>
      </c>
      <c r="K18" s="370">
        <f t="shared" ref="K18:K21" si="13">E18*G18</f>
        <v>0</v>
      </c>
      <c r="L18" s="371">
        <f t="shared" ref="L18:L21" si="14">H18*E18</f>
        <v>6905.4812257229169</v>
      </c>
      <c r="M18" s="371">
        <f t="shared" ref="M18:M21" si="15">I18*E18</f>
        <v>8000</v>
      </c>
      <c r="N18" s="397">
        <f>M18/$M$22</f>
        <v>0.62163533145703809</v>
      </c>
      <c r="O18" s="561">
        <f>M22/M28</f>
        <v>3.6063559999999998E-3</v>
      </c>
      <c r="Q18" s="410">
        <v>8000</v>
      </c>
      <c r="R18" s="39" t="str">
        <f t="shared" ref="R18:R21" si="16">IF(Q18=M18,"BOA GAROTO","FAZ BATER")</f>
        <v>BOA GAROTO</v>
      </c>
      <c r="T18" s="33"/>
      <c r="U18" s="33"/>
      <c r="V18" s="33"/>
      <c r="W18" s="33"/>
    </row>
    <row r="19" spans="1:23" s="19" customFormat="1" ht="12.75" customHeight="1">
      <c r="A19" s="24"/>
      <c r="B19" s="24" t="s">
        <v>71</v>
      </c>
      <c r="C19" s="25" t="s">
        <v>676</v>
      </c>
      <c r="D19" s="26" t="s">
        <v>48</v>
      </c>
      <c r="E19" s="100">
        <v>8</v>
      </c>
      <c r="F19" s="370">
        <v>97.103150625809249</v>
      </c>
      <c r="G19" s="370">
        <v>64.735433750539499</v>
      </c>
      <c r="H19" s="370">
        <f t="shared" si="11"/>
        <v>161.83858437634876</v>
      </c>
      <c r="I19" s="370">
        <f>H19*(1+'BDI - INFRAESTRUTURA'!$C$23)</f>
        <v>187.49000000000007</v>
      </c>
      <c r="J19" s="370">
        <f t="shared" si="12"/>
        <v>776.82520500647399</v>
      </c>
      <c r="K19" s="370">
        <f t="shared" si="13"/>
        <v>517.883470004316</v>
      </c>
      <c r="L19" s="371">
        <f t="shared" si="14"/>
        <v>1294.7086750107901</v>
      </c>
      <c r="M19" s="371">
        <f t="shared" si="15"/>
        <v>1499.9200000000005</v>
      </c>
      <c r="N19" s="397">
        <f t="shared" ref="N19:N21" si="17">M19/$M$22</f>
        <v>0.11655040829488011</v>
      </c>
      <c r="O19" s="562"/>
      <c r="Q19" s="410">
        <v>1499.92</v>
      </c>
      <c r="R19" s="39" t="str">
        <f t="shared" si="16"/>
        <v>BOA GAROTO</v>
      </c>
      <c r="T19" s="33"/>
      <c r="U19" s="33"/>
      <c r="V19" s="33"/>
      <c r="W19" s="33"/>
    </row>
    <row r="20" spans="1:23" s="19" customFormat="1" ht="12.75" customHeight="1">
      <c r="A20" s="24"/>
      <c r="B20" s="24" t="s">
        <v>72</v>
      </c>
      <c r="C20" s="25" t="s">
        <v>189</v>
      </c>
      <c r="D20" s="26" t="s">
        <v>190</v>
      </c>
      <c r="E20" s="100">
        <v>1</v>
      </c>
      <c r="F20" s="370">
        <v>654.89339663357771</v>
      </c>
      <c r="G20" s="370">
        <v>436.59559775571847</v>
      </c>
      <c r="H20" s="370">
        <f t="shared" si="11"/>
        <v>1091.4889943892963</v>
      </c>
      <c r="I20" s="370">
        <f>H20*(1+'BDI - INFRAESTRUTURA'!$C$23)</f>
        <v>1264.4899999999998</v>
      </c>
      <c r="J20" s="370">
        <f t="shared" si="12"/>
        <v>654.89339663357771</v>
      </c>
      <c r="K20" s="370">
        <f t="shared" si="13"/>
        <v>436.59559775571847</v>
      </c>
      <c r="L20" s="371">
        <f t="shared" si="14"/>
        <v>1091.4889943892963</v>
      </c>
      <c r="M20" s="371">
        <f t="shared" si="15"/>
        <v>1264.4899999999998</v>
      </c>
      <c r="N20" s="397">
        <f t="shared" si="17"/>
        <v>9.825645753426375E-2</v>
      </c>
      <c r="O20" s="562"/>
      <c r="Q20" s="410">
        <v>1264.49</v>
      </c>
      <c r="R20" s="39" t="str">
        <f t="shared" si="16"/>
        <v>BOA GAROTO</v>
      </c>
      <c r="T20" s="33"/>
      <c r="U20" s="33"/>
      <c r="V20" s="33"/>
      <c r="W20" s="33"/>
    </row>
    <row r="21" spans="1:23" s="19" customFormat="1" ht="12.75" customHeight="1">
      <c r="A21" s="24"/>
      <c r="B21" s="24" t="s">
        <v>360</v>
      </c>
      <c r="C21" s="25" t="s">
        <v>166</v>
      </c>
      <c r="D21" s="26" t="s">
        <v>190</v>
      </c>
      <c r="E21" s="100">
        <v>1</v>
      </c>
      <c r="F21" s="370">
        <v>1090.1362378938279</v>
      </c>
      <c r="G21" s="370">
        <v>726.75749192921865</v>
      </c>
      <c r="H21" s="370">
        <f t="shared" si="11"/>
        <v>1816.8937298230467</v>
      </c>
      <c r="I21" s="370">
        <f>H21*(1+'BDI - INFRAESTRUTURA'!$C$23)</f>
        <v>2104.8713859999998</v>
      </c>
      <c r="J21" s="370">
        <f t="shared" si="12"/>
        <v>1090.1362378938279</v>
      </c>
      <c r="K21" s="370">
        <f t="shared" si="13"/>
        <v>726.75749192921865</v>
      </c>
      <c r="L21" s="371">
        <f t="shared" si="14"/>
        <v>1816.8937298230467</v>
      </c>
      <c r="M21" s="371">
        <f t="shared" si="15"/>
        <v>2104.8713859999998</v>
      </c>
      <c r="N21" s="397">
        <f t="shared" si="17"/>
        <v>0.16355780271381815</v>
      </c>
      <c r="O21" s="562"/>
      <c r="Q21" s="410">
        <v>2104.8713859999998</v>
      </c>
      <c r="R21" s="39" t="str">
        <f t="shared" si="16"/>
        <v>BOA GAROTO</v>
      </c>
      <c r="T21" s="33"/>
      <c r="U21" s="33"/>
      <c r="V21" s="33"/>
      <c r="W21" s="33"/>
    </row>
    <row r="22" spans="1:23" ht="15.75">
      <c r="A22" s="264"/>
      <c r="B22" s="56"/>
      <c r="C22" s="359" t="s">
        <v>220</v>
      </c>
      <c r="D22" s="56"/>
      <c r="E22" s="265"/>
      <c r="F22" s="373"/>
      <c r="G22" s="373"/>
      <c r="H22" s="373"/>
      <c r="I22" s="373"/>
      <c r="J22" s="373"/>
      <c r="K22" s="373"/>
      <c r="L22" s="374"/>
      <c r="M22" s="372">
        <f>SUM(M18:M21)</f>
        <v>12869.281385999999</v>
      </c>
      <c r="N22" s="398">
        <f>M22/$M$27</f>
        <v>4.042999999999998E-2</v>
      </c>
      <c r="O22" s="563"/>
      <c r="Q22" s="411"/>
    </row>
    <row r="23" spans="1:23" s="19" customFormat="1" ht="12.75" customHeight="1">
      <c r="A23" s="380" t="s">
        <v>53</v>
      </c>
      <c r="B23" s="380"/>
      <c r="C23" s="381" t="s">
        <v>448</v>
      </c>
      <c r="D23" s="382"/>
      <c r="E23" s="383"/>
      <c r="F23" s="383"/>
      <c r="G23" s="383"/>
      <c r="H23" s="383"/>
      <c r="I23" s="383"/>
      <c r="J23" s="383"/>
      <c r="K23" s="383"/>
      <c r="L23" s="384"/>
      <c r="M23" s="384"/>
      <c r="N23" s="395"/>
      <c r="O23" s="395"/>
      <c r="Q23" s="410"/>
      <c r="T23" s="33"/>
      <c r="U23" s="33"/>
      <c r="V23" s="33"/>
      <c r="W23" s="33"/>
    </row>
    <row r="24" spans="1:23" s="19" customFormat="1" ht="12.75" customHeight="1">
      <c r="A24" s="24"/>
      <c r="B24" s="24" t="s">
        <v>69</v>
      </c>
      <c r="C24" s="25" t="s">
        <v>674</v>
      </c>
      <c r="D24" s="26" t="s">
        <v>190</v>
      </c>
      <c r="E24" s="100">
        <v>1</v>
      </c>
      <c r="F24" s="370">
        <v>7987.4952950654579</v>
      </c>
      <c r="G24" s="370">
        <v>22821.415128758454</v>
      </c>
      <c r="H24" s="370">
        <f t="shared" ref="H24:H25" si="18">F24+G24</f>
        <v>30808.910423823912</v>
      </c>
      <c r="I24" s="370">
        <f>H24*(1+'BDI - INFRAESTRUTURA'!$C$23)</f>
        <v>35692.122726000009</v>
      </c>
      <c r="J24" s="370">
        <f t="shared" ref="J24:J25" si="19">E24*F24</f>
        <v>7987.4952950654579</v>
      </c>
      <c r="K24" s="370">
        <f t="shared" ref="K24:K25" si="20">E24*G24</f>
        <v>22821.415128758454</v>
      </c>
      <c r="L24" s="371">
        <f t="shared" ref="L24:L25" si="21">H24*E24</f>
        <v>30808.910423823912</v>
      </c>
      <c r="M24" s="371">
        <f t="shared" ref="M24:M25" si="22">I24*E24</f>
        <v>35692.122726000009</v>
      </c>
      <c r="N24" s="397">
        <f>M24/$M$26</f>
        <v>0.3702370732351582</v>
      </c>
      <c r="O24" s="561">
        <f>M26/M28</f>
        <v>2.7015112000000004E-2</v>
      </c>
      <c r="Q24" s="410">
        <v>35692.122726000001</v>
      </c>
      <c r="R24" s="39" t="str">
        <f t="shared" ref="R24:R27" si="23">IF(Q24=M24,"BOA GAROTO","FAZ BATER")</f>
        <v>BOA GAROTO</v>
      </c>
      <c r="T24" s="33"/>
      <c r="U24" s="33"/>
      <c r="V24" s="33"/>
      <c r="W24" s="33"/>
    </row>
    <row r="25" spans="1:23" s="19" customFormat="1" ht="12.75" customHeight="1">
      <c r="A25" s="24"/>
      <c r="B25" s="24" t="s">
        <v>357</v>
      </c>
      <c r="C25" s="25" t="s">
        <v>675</v>
      </c>
      <c r="D25" s="26" t="s">
        <v>190</v>
      </c>
      <c r="E25" s="100">
        <v>1</v>
      </c>
      <c r="F25" s="370">
        <v>13586.506533736152</v>
      </c>
      <c r="G25" s="370">
        <v>38818.590096389009</v>
      </c>
      <c r="H25" s="370">
        <f t="shared" si="18"/>
        <v>52405.096630125161</v>
      </c>
      <c r="I25" s="370">
        <f>H25*(1+'BDI - INFRAESTRUTURA'!$C$23)</f>
        <v>60711.304446000002</v>
      </c>
      <c r="J25" s="370">
        <f t="shared" si="19"/>
        <v>13586.506533736152</v>
      </c>
      <c r="K25" s="370">
        <f t="shared" si="20"/>
        <v>38818.590096389009</v>
      </c>
      <c r="L25" s="371">
        <f t="shared" si="21"/>
        <v>52405.096630125161</v>
      </c>
      <c r="M25" s="371">
        <f t="shared" si="22"/>
        <v>60711.304446000002</v>
      </c>
      <c r="N25" s="397">
        <f>M25/$M$26</f>
        <v>0.6297629267648418</v>
      </c>
      <c r="O25" s="562"/>
      <c r="Q25" s="410">
        <v>60711.304446000009</v>
      </c>
      <c r="R25" s="39" t="str">
        <f t="shared" si="23"/>
        <v>BOA GAROTO</v>
      </c>
      <c r="T25" s="33"/>
      <c r="U25" s="33"/>
      <c r="V25" s="33"/>
      <c r="W25" s="33"/>
    </row>
    <row r="26" spans="1:23" ht="15.75">
      <c r="A26" s="264"/>
      <c r="B26" s="56"/>
      <c r="C26" s="359" t="s">
        <v>220</v>
      </c>
      <c r="D26" s="56"/>
      <c r="E26" s="265"/>
      <c r="F26" s="373"/>
      <c r="G26" s="373"/>
      <c r="H26" s="373"/>
      <c r="I26" s="373"/>
      <c r="J26" s="373"/>
      <c r="K26" s="373"/>
      <c r="L26" s="374"/>
      <c r="M26" s="372">
        <f>SUM(M24:M25)</f>
        <v>96403.427172000011</v>
      </c>
      <c r="N26" s="398">
        <f>M26/$M$27</f>
        <v>0.30285999999999991</v>
      </c>
      <c r="O26" s="563"/>
    </row>
    <row r="27" spans="1:23" ht="12.75" customHeight="1">
      <c r="A27" s="558" t="s">
        <v>45</v>
      </c>
      <c r="B27" s="559"/>
      <c r="C27" s="559"/>
      <c r="D27" s="559"/>
      <c r="E27" s="559"/>
      <c r="F27" s="559"/>
      <c r="G27" s="559"/>
      <c r="H27" s="559"/>
      <c r="I27" s="559"/>
      <c r="J27" s="559"/>
      <c r="K27" s="559"/>
      <c r="L27" s="560"/>
      <c r="M27" s="384">
        <f>SUM(M12:M26)/2</f>
        <v>318310.20000000013</v>
      </c>
      <c r="N27" s="395"/>
      <c r="O27" s="395">
        <f>M27/$M$28</f>
        <v>8.9200000000000029E-2</v>
      </c>
      <c r="Q27" s="237">
        <v>318310.2</v>
      </c>
      <c r="R27" s="39" t="str">
        <f t="shared" si="23"/>
        <v>BOA GAROTO</v>
      </c>
    </row>
    <row r="28" spans="1:23">
      <c r="A28" s="558" t="s">
        <v>669</v>
      </c>
      <c r="B28" s="559"/>
      <c r="C28" s="559"/>
      <c r="D28" s="559"/>
      <c r="E28" s="559"/>
      <c r="F28" s="559"/>
      <c r="G28" s="559"/>
      <c r="H28" s="559"/>
      <c r="I28" s="559"/>
      <c r="J28" s="559"/>
      <c r="K28" s="559"/>
      <c r="L28" s="560"/>
      <c r="M28" s="384">
        <f>'TABELA DE MEDIÇÃO E FATURAMENTO'!G10</f>
        <v>3568500</v>
      </c>
      <c r="N28" s="385"/>
      <c r="O28" s="384"/>
    </row>
    <row r="29" spans="1:23">
      <c r="A29" s="32"/>
      <c r="B29" s="32"/>
      <c r="C29" s="32"/>
      <c r="D29" s="32"/>
      <c r="E29" s="101"/>
      <c r="F29" s="101"/>
      <c r="G29" s="101"/>
      <c r="H29" s="101"/>
      <c r="I29" s="101"/>
      <c r="J29" s="101"/>
      <c r="K29" s="101"/>
      <c r="L29" s="431"/>
      <c r="M29" s="32"/>
      <c r="N29" s="391"/>
      <c r="O29" s="32"/>
    </row>
    <row r="30" spans="1:23">
      <c r="A30" s="361"/>
      <c r="B30" s="361"/>
      <c r="C30" s="361"/>
      <c r="D30" s="361"/>
      <c r="E30" s="101"/>
      <c r="F30" s="101"/>
      <c r="G30" s="101"/>
      <c r="H30" s="101"/>
      <c r="I30" s="101"/>
      <c r="J30" s="431" t="s">
        <v>178</v>
      </c>
      <c r="K30" s="431"/>
      <c r="L30" s="431"/>
      <c r="M30" s="361"/>
      <c r="N30" s="392"/>
      <c r="O30" s="361"/>
    </row>
    <row r="31" spans="1:23">
      <c r="A31" s="361"/>
      <c r="B31" s="361"/>
      <c r="C31" s="361"/>
      <c r="J31" s="430" t="s">
        <v>790</v>
      </c>
      <c r="K31" s="430"/>
      <c r="L31" s="430"/>
      <c r="O31" s="361"/>
    </row>
    <row r="32" spans="1:23">
      <c r="J32" s="430" t="s">
        <v>791</v>
      </c>
      <c r="K32" s="430"/>
      <c r="L32" s="430"/>
      <c r="O32" s="360"/>
    </row>
    <row r="33" spans="10:15">
      <c r="J33" s="430" t="s">
        <v>177</v>
      </c>
      <c r="K33" s="430"/>
      <c r="L33" s="430"/>
      <c r="O33" s="360"/>
    </row>
    <row r="34" spans="10:15">
      <c r="J34" s="557" t="s">
        <v>792</v>
      </c>
      <c r="K34" s="557"/>
      <c r="L34" s="557"/>
      <c r="O34" s="360"/>
    </row>
    <row r="35" spans="10:15">
      <c r="O35" s="360"/>
    </row>
  </sheetData>
  <mergeCells count="8">
    <mergeCell ref="J34:L34"/>
    <mergeCell ref="A27:L27"/>
    <mergeCell ref="A28:L28"/>
    <mergeCell ref="A2:O2"/>
    <mergeCell ref="A4:O4"/>
    <mergeCell ref="O12:O16"/>
    <mergeCell ref="O18:O22"/>
    <mergeCell ref="O24:O26"/>
  </mergeCells>
  <phoneticPr fontId="71" type="noConversion"/>
  <pageMargins left="0.511811024" right="0.511811024" top="0.78740157499999996" bottom="0.78740157499999996" header="0.31496062000000002" footer="0.31496062000000002"/>
  <pageSetup paperSize="9" scale="62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EF3BF-3173-41BA-AE59-7C788BE3DB8B}">
  <sheetPr>
    <tabColor rgb="FF00B050"/>
    <pageSetUpPr fitToPage="1"/>
  </sheetPr>
  <dimension ref="A1:AB105"/>
  <sheetViews>
    <sheetView view="pageBreakPreview" topLeftCell="A10" zoomScaleNormal="100" zoomScaleSheetLayoutView="100" workbookViewId="0">
      <selection activeCell="C24" sqref="C24"/>
    </sheetView>
  </sheetViews>
  <sheetFormatPr defaultColWidth="10.42578125" defaultRowHeight="12.75"/>
  <cols>
    <col min="1" max="1" width="4.85546875" style="28" bestFit="1" customWidth="1"/>
    <col min="2" max="2" width="7.28515625" style="28" bestFit="1" customWidth="1"/>
    <col min="3" max="3" width="60.7109375" style="29" customWidth="1"/>
    <col min="4" max="4" width="5" style="30" bestFit="1" customWidth="1"/>
    <col min="5" max="5" width="9.85546875" style="102" bestFit="1" customWidth="1"/>
    <col min="6" max="6" width="12.140625" style="102" bestFit="1" customWidth="1"/>
    <col min="7" max="9" width="13.28515625" style="102" bestFit="1" customWidth="1"/>
    <col min="10" max="11" width="12.140625" style="102" bestFit="1" customWidth="1"/>
    <col min="12" max="12" width="13.28515625" style="31" bestFit="1" customWidth="1"/>
    <col min="13" max="13" width="15" style="31" bestFit="1" customWidth="1"/>
    <col min="14" max="14" width="15" style="393" customWidth="1"/>
    <col min="15" max="15" width="18" style="31" bestFit="1" customWidth="1"/>
    <col min="16" max="16" width="15.5703125" style="413" bestFit="1" customWidth="1"/>
    <col min="17" max="17" width="12.42578125" style="413" bestFit="1" customWidth="1"/>
    <col min="18" max="18" width="12.85546875" style="413" bestFit="1" customWidth="1"/>
    <col min="19" max="19" width="23.5703125" style="413" customWidth="1"/>
    <col min="20" max="20" width="15.5703125" style="364" bestFit="1" customWidth="1"/>
    <col min="21" max="23" width="11.7109375" style="5" customWidth="1"/>
    <col min="24" max="24" width="12.42578125" style="5" customWidth="1"/>
    <col min="25" max="26" width="14.5703125" style="5" bestFit="1" customWidth="1"/>
    <col min="27" max="16384" width="10.42578125" style="5"/>
  </cols>
  <sheetData>
    <row r="1" spans="1:28" ht="9" customHeight="1">
      <c r="A1" s="442"/>
      <c r="B1" s="443"/>
      <c r="C1" s="444"/>
      <c r="D1" s="445"/>
      <c r="E1" s="446"/>
      <c r="F1" s="446"/>
      <c r="G1" s="446"/>
      <c r="H1" s="446"/>
      <c r="I1" s="446"/>
      <c r="J1" s="446"/>
      <c r="K1" s="446"/>
      <c r="L1" s="447"/>
      <c r="M1" s="447"/>
      <c r="N1" s="448"/>
      <c r="O1" s="449"/>
    </row>
    <row r="2" spans="1:28" ht="15.75" customHeight="1">
      <c r="A2" s="567" t="s">
        <v>489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9"/>
    </row>
    <row r="3" spans="1:28" ht="11.25" customHeight="1">
      <c r="A3" s="450"/>
      <c r="B3" s="451"/>
      <c r="C3" s="452"/>
      <c r="D3" s="453"/>
      <c r="E3" s="454"/>
      <c r="F3" s="454"/>
      <c r="G3" s="454"/>
      <c r="H3" s="454"/>
      <c r="I3" s="454"/>
      <c r="J3" s="454"/>
      <c r="K3" s="454"/>
      <c r="L3" s="455"/>
      <c r="M3" s="455"/>
      <c r="N3" s="456"/>
      <c r="O3" s="457"/>
    </row>
    <row r="4" spans="1:28" ht="15.75">
      <c r="A4" s="570" t="s">
        <v>805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2"/>
    </row>
    <row r="5" spans="1:28" s="275" customFormat="1" ht="15">
      <c r="A5" s="458" t="s">
        <v>527</v>
      </c>
      <c r="B5" s="459"/>
      <c r="C5" s="460"/>
      <c r="D5" s="461"/>
      <c r="E5" s="462"/>
      <c r="F5" s="463"/>
      <c r="G5" s="464"/>
      <c r="H5" s="463"/>
      <c r="I5" s="463"/>
      <c r="J5" s="463"/>
      <c r="K5" s="463"/>
      <c r="L5" s="463"/>
      <c r="M5" s="463"/>
      <c r="N5" s="465"/>
      <c r="O5" s="466"/>
      <c r="P5" s="414"/>
      <c r="Q5" s="414"/>
      <c r="R5" s="414"/>
      <c r="S5" s="414"/>
      <c r="T5" s="365"/>
    </row>
    <row r="6" spans="1:28" s="275" customFormat="1" ht="15">
      <c r="A6" s="458" t="s">
        <v>532</v>
      </c>
      <c r="B6" s="459"/>
      <c r="C6" s="460"/>
      <c r="D6" s="461"/>
      <c r="E6" s="462"/>
      <c r="F6" s="463"/>
      <c r="G6" s="464"/>
      <c r="H6" s="463"/>
      <c r="I6" s="463"/>
      <c r="J6" s="463"/>
      <c r="K6" s="463"/>
      <c r="L6" s="463"/>
      <c r="M6" s="463"/>
      <c r="N6" s="465"/>
      <c r="O6" s="466"/>
      <c r="P6" s="414"/>
      <c r="Q6" s="414"/>
      <c r="R6" s="414"/>
      <c r="S6" s="414"/>
      <c r="T6" s="365"/>
    </row>
    <row r="7" spans="1:28" s="275" customFormat="1" ht="15">
      <c r="A7" s="458" t="s">
        <v>530</v>
      </c>
      <c r="B7" s="459"/>
      <c r="C7" s="460"/>
      <c r="D7" s="461"/>
      <c r="E7" s="462"/>
      <c r="F7" s="463"/>
      <c r="G7" s="464"/>
      <c r="H7" s="463"/>
      <c r="I7" s="463"/>
      <c r="J7" s="463"/>
      <c r="K7" s="463"/>
      <c r="L7" s="463"/>
      <c r="M7" s="463"/>
      <c r="N7" s="465"/>
      <c r="O7" s="466"/>
      <c r="P7" s="414"/>
      <c r="Q7" s="414"/>
      <c r="R7" s="414"/>
      <c r="S7" s="414"/>
      <c r="T7" s="365"/>
    </row>
    <row r="8" spans="1:28" s="275" customFormat="1" ht="15">
      <c r="A8" s="458" t="s">
        <v>531</v>
      </c>
      <c r="B8" s="459"/>
      <c r="C8" s="460"/>
      <c r="D8" s="461"/>
      <c r="E8" s="462"/>
      <c r="F8" s="463"/>
      <c r="G8" s="464"/>
      <c r="H8" s="463"/>
      <c r="I8" s="463"/>
      <c r="J8" s="463"/>
      <c r="K8" s="463"/>
      <c r="L8" s="463"/>
      <c r="M8" s="463"/>
      <c r="N8" s="465"/>
      <c r="O8" s="466"/>
      <c r="P8" s="414"/>
      <c r="Q8" s="414"/>
      <c r="R8" s="414"/>
      <c r="S8" s="414"/>
      <c r="T8" s="365"/>
    </row>
    <row r="9" spans="1:28" ht="25.5">
      <c r="A9" s="467" t="s">
        <v>202</v>
      </c>
      <c r="B9" s="2" t="s">
        <v>203</v>
      </c>
      <c r="C9" s="3" t="s">
        <v>204</v>
      </c>
      <c r="D9" s="3" t="s">
        <v>205</v>
      </c>
      <c r="E9" s="98" t="s">
        <v>206</v>
      </c>
      <c r="F9" s="98" t="s">
        <v>493</v>
      </c>
      <c r="G9" s="98" t="s">
        <v>494</v>
      </c>
      <c r="H9" s="98" t="s">
        <v>491</v>
      </c>
      <c r="I9" s="98" t="s">
        <v>492</v>
      </c>
      <c r="J9" s="98" t="s">
        <v>495</v>
      </c>
      <c r="K9" s="98" t="s">
        <v>496</v>
      </c>
      <c r="L9" s="4" t="s">
        <v>497</v>
      </c>
      <c r="M9" s="92" t="s">
        <v>498</v>
      </c>
      <c r="N9" s="389" t="s">
        <v>671</v>
      </c>
      <c r="O9" s="468" t="s">
        <v>670</v>
      </c>
    </row>
    <row r="10" spans="1:28" s="63" customFormat="1">
      <c r="A10" s="469"/>
      <c r="B10" s="64"/>
      <c r="C10" s="65"/>
      <c r="D10" s="65"/>
      <c r="E10" s="99"/>
      <c r="F10" s="99"/>
      <c r="G10" s="99"/>
      <c r="H10" s="99"/>
      <c r="I10" s="99"/>
      <c r="J10" s="99"/>
      <c r="K10" s="99"/>
      <c r="L10" s="66"/>
      <c r="M10" s="66"/>
      <c r="N10" s="390"/>
      <c r="O10" s="470"/>
      <c r="P10" s="415"/>
      <c r="Q10" s="415"/>
      <c r="R10" s="415"/>
      <c r="S10" s="415"/>
      <c r="T10" s="366"/>
    </row>
    <row r="11" spans="1:28" s="19" customFormat="1" ht="15" customHeight="1">
      <c r="A11" s="471">
        <v>1</v>
      </c>
      <c r="B11" s="380"/>
      <c r="C11" s="381" t="s">
        <v>179</v>
      </c>
      <c r="D11" s="382" t="s">
        <v>41</v>
      </c>
      <c r="E11" s="383"/>
      <c r="F11" s="383"/>
      <c r="G11" s="383"/>
      <c r="H11" s="383"/>
      <c r="I11" s="383"/>
      <c r="J11" s="383"/>
      <c r="K11" s="383"/>
      <c r="L11" s="384" t="s">
        <v>41</v>
      </c>
      <c r="M11" s="384"/>
      <c r="N11" s="395"/>
      <c r="O11" s="472"/>
      <c r="P11" s="419">
        <v>19.308290257664837</v>
      </c>
      <c r="T11" s="367"/>
      <c r="U11" s="263"/>
      <c r="V11" s="263"/>
      <c r="W11" s="263"/>
      <c r="X11" s="33"/>
      <c r="Y11" s="33"/>
      <c r="Z11" s="33"/>
      <c r="AA11" s="33"/>
      <c r="AB11" s="33"/>
    </row>
    <row r="12" spans="1:28" s="19" customFormat="1" ht="25.5">
      <c r="A12" s="473"/>
      <c r="B12" s="24" t="s">
        <v>51</v>
      </c>
      <c r="C12" s="25" t="s">
        <v>211</v>
      </c>
      <c r="D12" s="26" t="s">
        <v>212</v>
      </c>
      <c r="E12" s="100">
        <v>42.61</v>
      </c>
      <c r="F12" s="370">
        <f>1.5*G12</f>
        <v>3.7088051031578861</v>
      </c>
      <c r="G12" s="370">
        <v>2.4725367354385908</v>
      </c>
      <c r="H12" s="370">
        <f t="shared" ref="H12:H14" si="0">F12+G12</f>
        <v>6.1813418385964773</v>
      </c>
      <c r="I12" s="370">
        <f>H12*(1+'BDI - HABITAÇÃO'!$C$22)</f>
        <v>7.8379414513403329</v>
      </c>
      <c r="J12" s="370">
        <f>E12*F12</f>
        <v>158.03218544555753</v>
      </c>
      <c r="K12" s="370">
        <f>E12*G12</f>
        <v>105.35479029703835</v>
      </c>
      <c r="L12" s="371">
        <f>H12*E12</f>
        <v>263.38697574259589</v>
      </c>
      <c r="M12" s="371">
        <f>I12*E12</f>
        <v>333.97468524161161</v>
      </c>
      <c r="N12" s="397">
        <f>M12/$M$17</f>
        <v>6.7579015901827064E-2</v>
      </c>
      <c r="O12" s="474">
        <f>M17/$M$98</f>
        <v>1.3848922499999992E-3</v>
      </c>
      <c r="P12" s="441">
        <f>P11*0.35</f>
        <v>6.7579015901826924</v>
      </c>
      <c r="Q12" s="417">
        <f>P12/100</f>
        <v>6.7579015901826925E-2</v>
      </c>
      <c r="R12" s="418">
        <v>333.97468524161098</v>
      </c>
      <c r="S12" s="19" t="s">
        <v>179</v>
      </c>
      <c r="T12" s="410">
        <v>197679.519765</v>
      </c>
      <c r="U12" s="39" t="str">
        <f>IF(T12=P17,"BOA GAROTO","FAZ BATER")</f>
        <v>BOA GAROTO</v>
      </c>
      <c r="V12" s="39"/>
      <c r="W12" s="39"/>
      <c r="Y12" s="515">
        <f t="shared" ref="Y12:Y17" si="1">L12*40</f>
        <v>10535.479029703836</v>
      </c>
      <c r="Z12" s="515">
        <f t="shared" ref="Z12:Z16" si="2">M12*40</f>
        <v>13358.987409664463</v>
      </c>
      <c r="AA12" s="33"/>
      <c r="AB12" s="33"/>
    </row>
    <row r="13" spans="1:28" s="19" customFormat="1" ht="15.75">
      <c r="A13" s="473"/>
      <c r="B13" s="24" t="s">
        <v>52</v>
      </c>
      <c r="C13" s="25" t="s">
        <v>678</v>
      </c>
      <c r="D13" s="26" t="s">
        <v>214</v>
      </c>
      <c r="E13" s="100">
        <v>4.8570000000000002</v>
      </c>
      <c r="F13" s="370">
        <f>G13*0.2</f>
        <v>16.784957815689406</v>
      </c>
      <c r="G13" s="370">
        <v>83.924789078447034</v>
      </c>
      <c r="H13" s="370">
        <f t="shared" si="0"/>
        <v>100.70974689413644</v>
      </c>
      <c r="I13" s="370">
        <f>H13*(1+'BDI - HABITAÇÃO'!$C$22)</f>
        <v>127.69995906176501</v>
      </c>
      <c r="J13" s="370">
        <f>E13*F13</f>
        <v>81.524540110803443</v>
      </c>
      <c r="K13" s="370">
        <f>E13*G13</f>
        <v>407.62270055401729</v>
      </c>
      <c r="L13" s="371">
        <f>H13*E13</f>
        <v>489.14724066482074</v>
      </c>
      <c r="M13" s="371">
        <f>I13*E13</f>
        <v>620.2387011629927</v>
      </c>
      <c r="N13" s="397">
        <f>M13/$M$17</f>
        <v>0.12550388667482162</v>
      </c>
      <c r="O13" s="475"/>
      <c r="P13" s="19">
        <f>P11*0.65</f>
        <v>12.550388667482144</v>
      </c>
      <c r="Q13" s="417">
        <f t="shared" ref="Q13:Q16" si="3">P13/100</f>
        <v>0.12550388667482143</v>
      </c>
      <c r="R13" s="418">
        <v>620.23870116299202</v>
      </c>
      <c r="Y13" s="515">
        <f t="shared" si="1"/>
        <v>19565.889626592831</v>
      </c>
      <c r="Z13" s="515">
        <f t="shared" si="2"/>
        <v>24809.548046519707</v>
      </c>
      <c r="AA13" s="33"/>
      <c r="AB13" s="33"/>
    </row>
    <row r="14" spans="1:28" s="19" customFormat="1" ht="15.75">
      <c r="A14" s="473"/>
      <c r="B14" s="24" t="s">
        <v>53</v>
      </c>
      <c r="C14" s="25" t="s">
        <v>215</v>
      </c>
      <c r="D14" s="26" t="s">
        <v>214</v>
      </c>
      <c r="E14" s="100">
        <v>3.6909999999999998</v>
      </c>
      <c r="F14" s="370">
        <f t="shared" ref="F14" si="4">G14*0.2</f>
        <v>18.552419169224123</v>
      </c>
      <c r="G14" s="370">
        <v>92.762095846120616</v>
      </c>
      <c r="H14" s="370">
        <f t="shared" si="0"/>
        <v>111.31451501534474</v>
      </c>
      <c r="I14" s="370">
        <f>H14*(1+'BDI - HABITAÇÃO'!$C$22)</f>
        <v>141.14680503945712</v>
      </c>
      <c r="J14" s="370">
        <f>E14*F14</f>
        <v>68.476979153606237</v>
      </c>
      <c r="K14" s="370">
        <f>E14*G14</f>
        <v>342.38489576803119</v>
      </c>
      <c r="L14" s="371">
        <f>H14*E14</f>
        <v>410.86187492163742</v>
      </c>
      <c r="M14" s="371">
        <f>I14*E14</f>
        <v>520.97285740063626</v>
      </c>
      <c r="N14" s="397">
        <f>M14/$M$17</f>
        <v>0.10541766957345208</v>
      </c>
      <c r="O14" s="475"/>
      <c r="P14" s="19">
        <v>10.541766957345224</v>
      </c>
      <c r="Q14" s="417">
        <f t="shared" si="3"/>
        <v>0.10541766957345225</v>
      </c>
      <c r="R14" s="418">
        <v>520.97285740063705</v>
      </c>
      <c r="Y14" s="515">
        <f t="shared" si="1"/>
        <v>16434.474996865498</v>
      </c>
      <c r="Z14" s="515">
        <f t="shared" si="2"/>
        <v>20838.91429602545</v>
      </c>
      <c r="AA14" s="33"/>
      <c r="AB14" s="33"/>
    </row>
    <row r="15" spans="1:28" s="19" customFormat="1" ht="15.75">
      <c r="A15" s="473"/>
      <c r="B15" s="24" t="s">
        <v>167</v>
      </c>
      <c r="C15" s="25" t="s">
        <v>679</v>
      </c>
      <c r="D15" s="26" t="s">
        <v>218</v>
      </c>
      <c r="E15" s="100">
        <v>24.75</v>
      </c>
      <c r="F15" s="370">
        <f>G15*1.6</f>
        <v>39.023086470801033</v>
      </c>
      <c r="G15" s="370">
        <v>24.389429044250644</v>
      </c>
      <c r="H15" s="370">
        <f t="shared" ref="H15:H16" si="5">F15+G15</f>
        <v>63.41251551505168</v>
      </c>
      <c r="I15" s="370">
        <f>H15*(1+'BDI - HABITAÇÃO'!$C$22)</f>
        <v>80.40706967308553</v>
      </c>
      <c r="J15" s="370">
        <f>E15*F15</f>
        <v>965.82139015232553</v>
      </c>
      <c r="K15" s="370">
        <f>E15*G15</f>
        <v>603.63836884520344</v>
      </c>
      <c r="L15" s="371">
        <f>H15*E15</f>
        <v>1569.459758997529</v>
      </c>
      <c r="M15" s="371">
        <f>I15*E15</f>
        <v>1990.0749744088669</v>
      </c>
      <c r="N15" s="397">
        <f t="shared" ref="N15:N16" si="6">M15/$M$17</f>
        <v>0.40268713254153082</v>
      </c>
      <c r="O15" s="475"/>
      <c r="P15" s="19">
        <v>40.26871325415302</v>
      </c>
      <c r="Q15" s="417">
        <f t="shared" si="3"/>
        <v>0.40268713254153021</v>
      </c>
      <c r="R15" s="418">
        <v>1990.07497440887</v>
      </c>
      <c r="Y15" s="515">
        <f t="shared" si="1"/>
        <v>62778.390359901161</v>
      </c>
      <c r="Z15" s="515">
        <f t="shared" si="2"/>
        <v>79602.998976354676</v>
      </c>
      <c r="AA15" s="33"/>
      <c r="AB15" s="33"/>
    </row>
    <row r="16" spans="1:28" s="19" customFormat="1" ht="25.5">
      <c r="A16" s="473"/>
      <c r="B16" s="24" t="s">
        <v>680</v>
      </c>
      <c r="C16" s="25" t="s">
        <v>878</v>
      </c>
      <c r="D16" s="26" t="s">
        <v>214</v>
      </c>
      <c r="E16" s="100">
        <v>1.5</v>
      </c>
      <c r="F16" s="370">
        <f>G16*1.6</f>
        <v>477.78913723558685</v>
      </c>
      <c r="G16" s="370">
        <v>298.61821077224175</v>
      </c>
      <c r="H16" s="370">
        <f t="shared" si="5"/>
        <v>776.40734800782866</v>
      </c>
      <c r="I16" s="370">
        <f>H16*(1+'BDI - HABITAÇÃO'!$C$22)</f>
        <v>984.48451727392671</v>
      </c>
      <c r="J16" s="370">
        <f>E16*F16</f>
        <v>716.68370585338027</v>
      </c>
      <c r="K16" s="370">
        <f>E16*G16</f>
        <v>447.9273161583626</v>
      </c>
      <c r="L16" s="371">
        <f>H16*E16</f>
        <v>1164.611022011743</v>
      </c>
      <c r="M16" s="371">
        <f>I16*E16</f>
        <v>1476.72677591089</v>
      </c>
      <c r="N16" s="397">
        <f t="shared" si="6"/>
        <v>0.29881229530836839</v>
      </c>
      <c r="O16" s="475"/>
      <c r="P16" s="19">
        <v>29.881229530836919</v>
      </c>
      <c r="Q16" s="417">
        <f t="shared" si="3"/>
        <v>0.29881229530836917</v>
      </c>
      <c r="R16" s="418">
        <v>1476.72677591089</v>
      </c>
      <c r="Y16" s="515">
        <f t="shared" si="1"/>
        <v>46584.440880469716</v>
      </c>
      <c r="Z16" s="515">
        <f t="shared" si="2"/>
        <v>59069.071036435598</v>
      </c>
      <c r="AA16" s="33"/>
      <c r="AB16" s="33"/>
    </row>
    <row r="17" spans="1:28" ht="15.75">
      <c r="A17" s="476"/>
      <c r="B17" s="56"/>
      <c r="C17" s="429" t="s">
        <v>220</v>
      </c>
      <c r="D17" s="56"/>
      <c r="E17" s="265"/>
      <c r="F17" s="373"/>
      <c r="G17" s="373"/>
      <c r="H17" s="373"/>
      <c r="I17" s="373"/>
      <c r="J17" s="373"/>
      <c r="K17" s="373"/>
      <c r="L17" s="374">
        <f>SUM(L12:L16)</f>
        <v>3897.4668723383261</v>
      </c>
      <c r="M17" s="372">
        <f>SUM(M12:M16)</f>
        <v>4941.9879941249974</v>
      </c>
      <c r="N17" s="398">
        <f>M17/$M$97</f>
        <v>0.10029999999999994</v>
      </c>
      <c r="O17" s="477"/>
      <c r="P17" s="416">
        <f>M17*40</f>
        <v>197679.51976499989</v>
      </c>
      <c r="Q17" s="416"/>
      <c r="R17" s="416"/>
      <c r="Y17" s="515">
        <f t="shared" si="1"/>
        <v>155898.67489353305</v>
      </c>
      <c r="Z17" s="515">
        <f>M17*40</f>
        <v>197679.51976499989</v>
      </c>
    </row>
    <row r="18" spans="1:28" s="19" customFormat="1">
      <c r="A18" s="471">
        <v>2</v>
      </c>
      <c r="B18" s="380"/>
      <c r="C18" s="381" t="s">
        <v>452</v>
      </c>
      <c r="D18" s="382"/>
      <c r="E18" s="383"/>
      <c r="F18" s="383"/>
      <c r="G18" s="383"/>
      <c r="H18" s="383"/>
      <c r="I18" s="383"/>
      <c r="J18" s="383"/>
      <c r="K18" s="383"/>
      <c r="L18" s="384"/>
      <c r="M18" s="384"/>
      <c r="N18" s="395"/>
      <c r="O18" s="478"/>
      <c r="Y18" s="515">
        <f t="shared" ref="Y18:Y24" si="7">L18*40</f>
        <v>0</v>
      </c>
      <c r="Z18" s="515">
        <f t="shared" ref="Z18:Z25" si="8">M18*40</f>
        <v>0</v>
      </c>
      <c r="AA18" s="33"/>
      <c r="AB18" s="33"/>
    </row>
    <row r="19" spans="1:28" s="19" customFormat="1" ht="25.5">
      <c r="A19" s="473"/>
      <c r="B19" s="24" t="s">
        <v>1</v>
      </c>
      <c r="C19" s="25" t="s">
        <v>869</v>
      </c>
      <c r="D19" s="26" t="s">
        <v>214</v>
      </c>
      <c r="E19" s="100">
        <v>0.9</v>
      </c>
      <c r="F19" s="370">
        <f>1.5*G19</f>
        <v>775.23774278428141</v>
      </c>
      <c r="G19" s="370">
        <v>516.82516185618761</v>
      </c>
      <c r="H19" s="370">
        <f t="shared" ref="H19:H22" si="9">F19+G19</f>
        <v>1292.062904640469</v>
      </c>
      <c r="I19" s="370">
        <f>H19*(1+'BDI - HABITAÇÃO'!$C$22)</f>
        <v>1638.3357630841147</v>
      </c>
      <c r="J19" s="370">
        <f t="shared" ref="J19:J24" si="10">E19*F19</f>
        <v>697.71396850585325</v>
      </c>
      <c r="K19" s="370">
        <f t="shared" ref="K19:K24" si="11">E19*G19</f>
        <v>465.14264567056887</v>
      </c>
      <c r="L19" s="371">
        <f t="shared" ref="L19:L24" si="12">H19*E19</f>
        <v>1162.8566141764222</v>
      </c>
      <c r="M19" s="371">
        <f t="shared" ref="M19:M24" si="13">I19*E19</f>
        <v>1474.5021867757032</v>
      </c>
      <c r="N19" s="397">
        <f>M19/$M$25</f>
        <v>0.12893461492224595</v>
      </c>
      <c r="O19" s="474">
        <f>M25/M98</f>
        <v>3.2047207499999999E-3</v>
      </c>
      <c r="P19" s="19">
        <v>12.893461492224523</v>
      </c>
      <c r="Q19" s="19">
        <f>P19/100</f>
        <v>0.12893461492224523</v>
      </c>
      <c r="R19" s="420">
        <f>Q19*$T$25/40</f>
        <v>1474.502186775695</v>
      </c>
      <c r="S19" s="19">
        <v>1474.5021867757</v>
      </c>
      <c r="Y19" s="515">
        <f t="shared" si="7"/>
        <v>46514.264567056889</v>
      </c>
      <c r="Z19" s="515">
        <f t="shared" si="8"/>
        <v>58980.087471028128</v>
      </c>
      <c r="AA19" s="33"/>
      <c r="AB19" s="33"/>
    </row>
    <row r="20" spans="1:28" s="19" customFormat="1" ht="15.75">
      <c r="A20" s="473"/>
      <c r="B20" s="24" t="s">
        <v>2</v>
      </c>
      <c r="C20" s="25" t="s">
        <v>870</v>
      </c>
      <c r="D20" s="26" t="s">
        <v>214</v>
      </c>
      <c r="E20" s="100">
        <v>1.5</v>
      </c>
      <c r="F20" s="370">
        <f>G20*1.5</f>
        <v>377.045240925489</v>
      </c>
      <c r="G20" s="370">
        <v>251.36349395032599</v>
      </c>
      <c r="H20" s="370">
        <f t="shared" si="9"/>
        <v>628.40873487581496</v>
      </c>
      <c r="I20" s="370">
        <f>H20*(1+'BDI - HABITAÇÃO'!$C$22)</f>
        <v>796.82227582253336</v>
      </c>
      <c r="J20" s="370">
        <f t="shared" si="10"/>
        <v>565.5678613882335</v>
      </c>
      <c r="K20" s="370">
        <f t="shared" si="11"/>
        <v>377.045240925489</v>
      </c>
      <c r="L20" s="371">
        <f t="shared" si="12"/>
        <v>942.61310231372249</v>
      </c>
      <c r="M20" s="371">
        <f t="shared" si="13"/>
        <v>1195.2334137338</v>
      </c>
      <c r="N20" s="397">
        <f t="shared" ref="N20:N24" si="14">M20/$M$25</f>
        <v>0.10451456859413344</v>
      </c>
      <c r="O20" s="475"/>
      <c r="P20" s="19">
        <v>10.451456859413382</v>
      </c>
      <c r="Q20" s="19">
        <f t="shared" ref="Q20:Q24" si="15">P20/100</f>
        <v>0.10451456859413381</v>
      </c>
      <c r="R20" s="420">
        <f t="shared" ref="R20:R24" si="16">Q20*$T$25/40</f>
        <v>1195.2334137338044</v>
      </c>
      <c r="S20" s="19">
        <v>1195.2334137338</v>
      </c>
      <c r="Y20" s="515">
        <f t="shared" si="7"/>
        <v>37704.524092548898</v>
      </c>
      <c r="Z20" s="515">
        <f t="shared" si="8"/>
        <v>47809.336549352003</v>
      </c>
      <c r="AA20" s="33"/>
      <c r="AB20" s="33"/>
    </row>
    <row r="21" spans="1:28" s="19" customFormat="1" ht="15.75">
      <c r="A21" s="473"/>
      <c r="B21" s="24" t="s">
        <v>55</v>
      </c>
      <c r="C21" s="25" t="s">
        <v>681</v>
      </c>
      <c r="D21" s="26" t="s">
        <v>212</v>
      </c>
      <c r="E21" s="100">
        <v>30.373999999999999</v>
      </c>
      <c r="F21" s="370">
        <f t="shared" ref="F21:F24" si="17">G21*1.5</f>
        <v>28.781622722178511</v>
      </c>
      <c r="G21" s="370">
        <v>19.187748481452342</v>
      </c>
      <c r="H21" s="370">
        <f t="shared" si="9"/>
        <v>47.969371203630857</v>
      </c>
      <c r="I21" s="370">
        <f>H21*(1+'BDI - HABITAÇÃO'!$C$22)</f>
        <v>60.825162686203925</v>
      </c>
      <c r="J21" s="370">
        <f t="shared" si="10"/>
        <v>874.2130085634501</v>
      </c>
      <c r="K21" s="370">
        <f t="shared" si="11"/>
        <v>582.80867237563336</v>
      </c>
      <c r="L21" s="371">
        <f t="shared" si="12"/>
        <v>1457.0216809390836</v>
      </c>
      <c r="M21" s="371">
        <f t="shared" si="13"/>
        <v>1847.503491430758</v>
      </c>
      <c r="N21" s="397">
        <f t="shared" si="14"/>
        <v>0.1615508972258751</v>
      </c>
      <c r="O21" s="475"/>
      <c r="P21" s="19">
        <v>16.155089722587558</v>
      </c>
      <c r="Q21" s="19">
        <f t="shared" si="15"/>
        <v>0.16155089722587557</v>
      </c>
      <c r="R21" s="420">
        <f t="shared" si="16"/>
        <v>1847.5034914307635</v>
      </c>
      <c r="S21" s="19">
        <v>1847.5034914307601</v>
      </c>
      <c r="Y21" s="515">
        <f t="shared" si="7"/>
        <v>58280.867237563347</v>
      </c>
      <c r="Z21" s="515">
        <f t="shared" si="8"/>
        <v>73900.13965723032</v>
      </c>
      <c r="AA21" s="33"/>
      <c r="AB21" s="33"/>
    </row>
    <row r="22" spans="1:28" s="19" customFormat="1" ht="15.75">
      <c r="A22" s="473"/>
      <c r="B22" s="24" t="s">
        <v>56</v>
      </c>
      <c r="C22" s="25" t="s">
        <v>871</v>
      </c>
      <c r="D22" s="26" t="s">
        <v>214</v>
      </c>
      <c r="E22" s="100">
        <v>0.15</v>
      </c>
      <c r="F22" s="370">
        <f t="shared" si="17"/>
        <v>380.93171515930874</v>
      </c>
      <c r="G22" s="370">
        <v>253.95447677287251</v>
      </c>
      <c r="H22" s="370">
        <f t="shared" si="9"/>
        <v>634.88619193218119</v>
      </c>
      <c r="I22" s="370">
        <f>H22*(1+'BDI - HABITAÇÃO'!$C$22)</f>
        <v>805.03569137000579</v>
      </c>
      <c r="J22" s="370">
        <f t="shared" si="10"/>
        <v>57.139757273896308</v>
      </c>
      <c r="K22" s="370">
        <f t="shared" si="11"/>
        <v>38.093171515930877</v>
      </c>
      <c r="L22" s="371">
        <f t="shared" si="12"/>
        <v>95.23292878982717</v>
      </c>
      <c r="M22" s="371">
        <f t="shared" si="13"/>
        <v>120.75535370550087</v>
      </c>
      <c r="N22" s="397">
        <f t="shared" si="14"/>
        <v>1.0559187479988968E-2</v>
      </c>
      <c r="O22" s="475"/>
      <c r="P22" s="19">
        <f>N22*100</f>
        <v>1.0559187479988967</v>
      </c>
      <c r="Q22" s="19">
        <f t="shared" si="15"/>
        <v>1.0559187479988968E-2</v>
      </c>
      <c r="R22" s="420">
        <f t="shared" si="16"/>
        <v>120.75535370550088</v>
      </c>
      <c r="S22" s="19">
        <v>120.75535370550099</v>
      </c>
      <c r="Y22" s="515">
        <f t="shared" si="7"/>
        <v>3809.3171515930867</v>
      </c>
      <c r="Z22" s="515">
        <f t="shared" si="8"/>
        <v>4830.214148220035</v>
      </c>
      <c r="AA22" s="33"/>
      <c r="AB22" s="33"/>
    </row>
    <row r="23" spans="1:28" s="19" customFormat="1" ht="15.75">
      <c r="A23" s="473"/>
      <c r="B23" s="24" t="s">
        <v>57</v>
      </c>
      <c r="C23" s="25" t="s">
        <v>872</v>
      </c>
      <c r="D23" s="26" t="s">
        <v>214</v>
      </c>
      <c r="E23" s="100">
        <v>0.106</v>
      </c>
      <c r="F23" s="370">
        <f t="shared" si="17"/>
        <v>625.51010764820217</v>
      </c>
      <c r="G23" s="370">
        <v>417.0067384321348</v>
      </c>
      <c r="H23" s="370">
        <f t="shared" ref="H23:H24" si="18">F23+G23</f>
        <v>1042.516846080337</v>
      </c>
      <c r="I23" s="370">
        <f>H23*(1+'BDI - HABITAÇÃO'!$C$22)</f>
        <v>1321.9113608298674</v>
      </c>
      <c r="J23" s="370">
        <f t="shared" si="10"/>
        <v>66.304071410709426</v>
      </c>
      <c r="K23" s="370">
        <f t="shared" si="11"/>
        <v>44.202714273806286</v>
      </c>
      <c r="L23" s="371">
        <f t="shared" si="12"/>
        <v>110.50678568451572</v>
      </c>
      <c r="M23" s="371">
        <f t="shared" si="13"/>
        <v>140.12260424796594</v>
      </c>
      <c r="N23" s="397">
        <f t="shared" si="14"/>
        <v>1.2252714294117218E-2</v>
      </c>
      <c r="O23" s="475"/>
      <c r="P23" s="19">
        <f>N23*100</f>
        <v>1.2252714294117217</v>
      </c>
      <c r="Q23" s="19">
        <f t="shared" si="15"/>
        <v>1.2252714294117218E-2</v>
      </c>
      <c r="R23" s="420">
        <f t="shared" si="16"/>
        <v>140.12260424796597</v>
      </c>
      <c r="S23" s="19">
        <v>140.122604247966</v>
      </c>
      <c r="Y23" s="515">
        <f t="shared" si="7"/>
        <v>4420.2714273806287</v>
      </c>
      <c r="Z23" s="515">
        <f t="shared" si="8"/>
        <v>5604.9041699186373</v>
      </c>
      <c r="AA23" s="506"/>
      <c r="AB23" s="33"/>
    </row>
    <row r="24" spans="1:28" s="19" customFormat="1" ht="15.75">
      <c r="A24" s="473"/>
      <c r="B24" s="24" t="s">
        <v>389</v>
      </c>
      <c r="C24" s="25" t="s">
        <v>682</v>
      </c>
      <c r="D24" s="26" t="s">
        <v>212</v>
      </c>
      <c r="E24" s="100">
        <v>92.045000000000002</v>
      </c>
      <c r="F24" s="370">
        <f t="shared" si="17"/>
        <v>34.227166761703991</v>
      </c>
      <c r="G24" s="370">
        <v>22.818111174469326</v>
      </c>
      <c r="H24" s="370">
        <f t="shared" si="18"/>
        <v>57.045277936173321</v>
      </c>
      <c r="I24" s="370">
        <f>H24*(1+'BDI - HABITAÇÃO'!$C$22)</f>
        <v>72.33341242306777</v>
      </c>
      <c r="J24" s="370">
        <f t="shared" si="10"/>
        <v>3150.4395645810441</v>
      </c>
      <c r="K24" s="370">
        <f t="shared" si="11"/>
        <v>2100.2930430540291</v>
      </c>
      <c r="L24" s="371">
        <f t="shared" si="12"/>
        <v>5250.7326076350737</v>
      </c>
      <c r="M24" s="371">
        <f t="shared" si="13"/>
        <v>6657.9289464812728</v>
      </c>
      <c r="N24" s="397">
        <f t="shared" si="14"/>
        <v>0.58218801748363935</v>
      </c>
      <c r="O24" s="475"/>
      <c r="P24" s="19">
        <f>N24*100</f>
        <v>58.218801748363937</v>
      </c>
      <c r="Q24" s="19">
        <f t="shared" si="15"/>
        <v>0.58218801748363935</v>
      </c>
      <c r="R24" s="420">
        <f t="shared" si="16"/>
        <v>6657.9289464812728</v>
      </c>
      <c r="S24" s="19">
        <v>6657.92894648127</v>
      </c>
      <c r="Y24" s="515">
        <f t="shared" si="7"/>
        <v>210029.30430540294</v>
      </c>
      <c r="Z24" s="515">
        <f t="shared" si="8"/>
        <v>266317.1578592509</v>
      </c>
      <c r="AA24" s="506"/>
      <c r="AB24" s="33"/>
    </row>
    <row r="25" spans="1:28" ht="15.75">
      <c r="A25" s="476"/>
      <c r="B25" s="56"/>
      <c r="C25" s="429" t="s">
        <v>220</v>
      </c>
      <c r="D25" s="56"/>
      <c r="E25" s="265"/>
      <c r="F25" s="373"/>
      <c r="G25" s="373"/>
      <c r="H25" s="373"/>
      <c r="I25" s="373"/>
      <c r="J25" s="373"/>
      <c r="K25" s="373"/>
      <c r="L25" s="372">
        <f>SUM(L19:L24)</f>
        <v>9018.9637195386458</v>
      </c>
      <c r="M25" s="372">
        <f>SUM(M19:M24)</f>
        <v>11436.045996375</v>
      </c>
      <c r="N25" s="398">
        <f>M25/$M$97</f>
        <v>0.2321</v>
      </c>
      <c r="O25" s="477"/>
      <c r="P25" s="416">
        <f>M25*40</f>
        <v>457441.83985500003</v>
      </c>
      <c r="Q25" s="19"/>
      <c r="R25" s="19"/>
      <c r="S25" s="19" t="s">
        <v>452</v>
      </c>
      <c r="T25" s="410">
        <v>457441.83985500003</v>
      </c>
      <c r="U25" s="39" t="str">
        <f>IF(T25=P25,"BOA GAROTO","FAZ BATER")</f>
        <v>BOA GAROTO</v>
      </c>
      <c r="V25" s="39"/>
      <c r="W25" s="39"/>
      <c r="Y25" s="515">
        <f>L25*40</f>
        <v>360758.54878154583</v>
      </c>
      <c r="Z25" s="515">
        <f t="shared" si="8"/>
        <v>457441.83985500003</v>
      </c>
    </row>
    <row r="26" spans="1:28" s="19" customFormat="1">
      <c r="A26" s="471">
        <v>3</v>
      </c>
      <c r="B26" s="380"/>
      <c r="C26" s="381" t="s">
        <v>387</v>
      </c>
      <c r="D26" s="382"/>
      <c r="E26" s="383"/>
      <c r="F26" s="383"/>
      <c r="G26" s="383"/>
      <c r="H26" s="383"/>
      <c r="I26" s="383"/>
      <c r="J26" s="383"/>
      <c r="K26" s="383"/>
      <c r="L26" s="384"/>
      <c r="M26" s="384"/>
      <c r="N26" s="395"/>
      <c r="O26" s="478"/>
      <c r="U26" s="39"/>
      <c r="V26" s="39"/>
      <c r="W26" s="39"/>
      <c r="Y26" s="515">
        <f t="shared" ref="Y26:Y96" si="19">L26*40</f>
        <v>0</v>
      </c>
      <c r="Z26" s="515">
        <f t="shared" ref="Z26:Z96" si="20">M26*40</f>
        <v>0</v>
      </c>
      <c r="AA26" s="33"/>
      <c r="AB26" s="33"/>
    </row>
    <row r="27" spans="1:28" s="19" customFormat="1" ht="15.75">
      <c r="A27" s="473"/>
      <c r="B27" s="24" t="s">
        <v>3</v>
      </c>
      <c r="C27" s="25" t="s">
        <v>883</v>
      </c>
      <c r="D27" s="26" t="s">
        <v>212</v>
      </c>
      <c r="E27" s="100">
        <v>42.61</v>
      </c>
      <c r="F27" s="370">
        <f>G27*1.5</f>
        <v>46.575380090118166</v>
      </c>
      <c r="G27" s="370">
        <v>31.05025339341211</v>
      </c>
      <c r="H27" s="370">
        <f t="shared" ref="H27" si="21">F27+G27</f>
        <v>77.625633483530279</v>
      </c>
      <c r="I27" s="370">
        <f>H27*(1+'BDI - HABITAÇÃO'!$C$22)</f>
        <v>98.429303257116402</v>
      </c>
      <c r="J27" s="370">
        <f t="shared" ref="J27:J32" si="22">E27*F27</f>
        <v>1984.576945639935</v>
      </c>
      <c r="K27" s="370">
        <f t="shared" ref="K27:K32" si="23">E27*G27</f>
        <v>1323.05129709329</v>
      </c>
      <c r="L27" s="371">
        <f t="shared" ref="L27:L32" si="24">H27*E27</f>
        <v>3307.6282427332253</v>
      </c>
      <c r="M27" s="371">
        <f t="shared" ref="M27:M32" si="25">I27*E27</f>
        <v>4194.0726117857303</v>
      </c>
      <c r="N27" s="397">
        <f>M27/$M$33</f>
        <v>0.62634805824176498</v>
      </c>
      <c r="O27" s="474">
        <f>M33/M98</f>
        <v>1.8764392500000007E-3</v>
      </c>
      <c r="P27" s="19">
        <v>62.634805824176468</v>
      </c>
      <c r="Q27" s="421">
        <f>P27/100</f>
        <v>0.62634805824176465</v>
      </c>
      <c r="R27" s="420">
        <f t="shared" ref="R27:R32" si="26">Q27*$T$33/40</f>
        <v>4194.0726117857257</v>
      </c>
      <c r="S27" s="420">
        <v>4194.0726117857303</v>
      </c>
      <c r="U27" s="39"/>
      <c r="V27" s="39"/>
      <c r="W27" s="39"/>
      <c r="Y27" s="515">
        <f t="shared" si="19"/>
        <v>132305.12970932902</v>
      </c>
      <c r="Z27" s="515">
        <f t="shared" si="20"/>
        <v>167762.90447142921</v>
      </c>
      <c r="AA27" s="33"/>
      <c r="AB27" s="33"/>
    </row>
    <row r="28" spans="1:28" s="19" customFormat="1" ht="15.75">
      <c r="A28" s="473"/>
      <c r="B28" s="24" t="s">
        <v>77</v>
      </c>
      <c r="C28" s="25" t="s">
        <v>884</v>
      </c>
      <c r="D28" s="26" t="s">
        <v>212</v>
      </c>
      <c r="E28" s="100">
        <v>42.61</v>
      </c>
      <c r="F28" s="370">
        <f>G28*1.65</f>
        <v>12.759662553838073</v>
      </c>
      <c r="G28" s="370">
        <v>7.7331288205079236</v>
      </c>
      <c r="H28" s="370">
        <f t="shared" ref="H28:H32" si="27">F28+G28</f>
        <v>20.492791374345998</v>
      </c>
      <c r="I28" s="370">
        <f>H28*(1+'BDI - HABITAÇÃO'!$C$22)</f>
        <v>25.984859462670727</v>
      </c>
      <c r="J28" s="370">
        <f t="shared" si="22"/>
        <v>543.68922141904022</v>
      </c>
      <c r="K28" s="370">
        <f t="shared" si="23"/>
        <v>329.50861904184262</v>
      </c>
      <c r="L28" s="371">
        <f t="shared" si="24"/>
        <v>873.19784046088296</v>
      </c>
      <c r="M28" s="371">
        <f t="shared" si="25"/>
        <v>1107.2148617043997</v>
      </c>
      <c r="N28" s="397">
        <f>M28/$M$33</f>
        <v>0.16535285458248172</v>
      </c>
      <c r="O28" s="475"/>
      <c r="P28" s="19">
        <v>16.535285458248204</v>
      </c>
      <c r="Q28" s="19">
        <f t="shared" ref="Q28:Q32" si="28">P28/100</f>
        <v>0.16535285458248203</v>
      </c>
      <c r="R28" s="420">
        <f t="shared" si="26"/>
        <v>1107.2148617044013</v>
      </c>
      <c r="S28" s="19">
        <v>1107.2148617043999</v>
      </c>
      <c r="U28" s="39"/>
      <c r="V28" s="39"/>
      <c r="W28" s="39"/>
      <c r="Y28" s="515">
        <f t="shared" si="19"/>
        <v>34927.913618435319</v>
      </c>
      <c r="Z28" s="515">
        <f t="shared" si="20"/>
        <v>44288.594468175987</v>
      </c>
      <c r="AA28" s="33"/>
      <c r="AB28" s="33"/>
    </row>
    <row r="29" spans="1:28" s="19" customFormat="1" ht="15.75">
      <c r="A29" s="473"/>
      <c r="B29" s="24" t="s">
        <v>4</v>
      </c>
      <c r="C29" s="25" t="s">
        <v>885</v>
      </c>
      <c r="D29" s="26" t="s">
        <v>218</v>
      </c>
      <c r="E29" s="100">
        <v>7.87</v>
      </c>
      <c r="F29" s="370">
        <f t="shared" ref="F29" si="29">G29*1.65</f>
        <v>6.6020807008510713</v>
      </c>
      <c r="G29" s="370">
        <v>4.0012610308188314</v>
      </c>
      <c r="H29" s="370">
        <f t="shared" si="27"/>
        <v>10.603341731669904</v>
      </c>
      <c r="I29" s="370">
        <f>H29*(1+'BDI - HABITAÇÃO'!$C$22)</f>
        <v>13.445037315757437</v>
      </c>
      <c r="J29" s="370">
        <f t="shared" si="22"/>
        <v>51.958375115697933</v>
      </c>
      <c r="K29" s="370">
        <f t="shared" si="23"/>
        <v>31.489924312544204</v>
      </c>
      <c r="L29" s="371">
        <f t="shared" si="24"/>
        <v>83.448299428242137</v>
      </c>
      <c r="M29" s="371">
        <f t="shared" si="25"/>
        <v>105.81244367501104</v>
      </c>
      <c r="N29" s="397">
        <f t="shared" ref="N29:N32" si="30">M29/$M$33</f>
        <v>1.5802162901858034E-2</v>
      </c>
      <c r="O29" s="475"/>
      <c r="P29" s="19">
        <v>1.5802162901858061</v>
      </c>
      <c r="Q29" s="19">
        <f t="shared" si="28"/>
        <v>1.5802162901858062E-2</v>
      </c>
      <c r="R29" s="420">
        <f t="shared" si="26"/>
        <v>105.8124436750112</v>
      </c>
      <c r="S29" s="19">
        <v>105.812443675011</v>
      </c>
      <c r="U29" s="39"/>
      <c r="V29" s="39"/>
      <c r="W29" s="39"/>
      <c r="Y29" s="515">
        <f t="shared" si="19"/>
        <v>3337.9319771296855</v>
      </c>
      <c r="Z29" s="515">
        <f t="shared" si="20"/>
        <v>4232.4977470004414</v>
      </c>
      <c r="AA29" s="33"/>
      <c r="AB29" s="33"/>
    </row>
    <row r="30" spans="1:28" s="19" customFormat="1" ht="15.75">
      <c r="A30" s="473"/>
      <c r="B30" s="24" t="s">
        <v>172</v>
      </c>
      <c r="C30" s="25" t="s">
        <v>886</v>
      </c>
      <c r="D30" s="26" t="s">
        <v>218</v>
      </c>
      <c r="E30" s="100">
        <f>929.6/100</f>
        <v>9.2959999999999994</v>
      </c>
      <c r="F30" s="370">
        <f>G30*1.78</f>
        <v>10.092122073350515</v>
      </c>
      <c r="G30" s="370">
        <v>5.6697315018823113</v>
      </c>
      <c r="H30" s="370">
        <f t="shared" si="27"/>
        <v>15.761853575232827</v>
      </c>
      <c r="I30" s="370">
        <f>H30*(1+'BDI - HABITAÇÃO'!$C$22)</f>
        <v>19.986030333395224</v>
      </c>
      <c r="J30" s="370">
        <f t="shared" si="22"/>
        <v>93.816366793866379</v>
      </c>
      <c r="K30" s="370">
        <f t="shared" si="23"/>
        <v>52.705824041497962</v>
      </c>
      <c r="L30" s="371">
        <f t="shared" si="24"/>
        <v>146.52219083536434</v>
      </c>
      <c r="M30" s="371">
        <f t="shared" si="25"/>
        <v>185.79013797924199</v>
      </c>
      <c r="N30" s="397">
        <f t="shared" si="30"/>
        <v>2.7746131966518508E-2</v>
      </c>
      <c r="O30" s="475"/>
      <c r="P30" s="19">
        <v>2.7746131966518561</v>
      </c>
      <c r="Q30" s="19">
        <f t="shared" si="28"/>
        <v>2.774613196651856E-2</v>
      </c>
      <c r="R30" s="420">
        <f t="shared" si="26"/>
        <v>185.79013797924227</v>
      </c>
      <c r="S30" s="19">
        <v>185.79013797924199</v>
      </c>
      <c r="U30" s="39"/>
      <c r="V30" s="39"/>
      <c r="W30" s="39"/>
      <c r="Y30" s="515">
        <f t="shared" si="19"/>
        <v>5860.8876334145734</v>
      </c>
      <c r="Z30" s="515">
        <f t="shared" si="20"/>
        <v>7431.6055191696796</v>
      </c>
      <c r="AA30" s="33"/>
      <c r="AB30" s="33"/>
    </row>
    <row r="31" spans="1:28" s="19" customFormat="1" ht="25.5">
      <c r="A31" s="473"/>
      <c r="B31" s="24" t="s">
        <v>173</v>
      </c>
      <c r="C31" s="25" t="s">
        <v>887</v>
      </c>
      <c r="D31" s="26" t="s">
        <v>212</v>
      </c>
      <c r="E31" s="100">
        <v>15.28</v>
      </c>
      <c r="F31" s="370">
        <f>G31*1.5</f>
        <v>28.200192755117691</v>
      </c>
      <c r="G31" s="370">
        <v>18.800128503411795</v>
      </c>
      <c r="H31" s="370">
        <f t="shared" si="27"/>
        <v>47.000321258529482</v>
      </c>
      <c r="I31" s="370">
        <f>H31*(1+'BDI - HABITAÇÃO'!$C$22)</f>
        <v>59.596407355815387</v>
      </c>
      <c r="J31" s="370">
        <f t="shared" si="22"/>
        <v>430.89894529819827</v>
      </c>
      <c r="K31" s="370">
        <f t="shared" si="23"/>
        <v>287.26596353213222</v>
      </c>
      <c r="L31" s="371">
        <f t="shared" si="24"/>
        <v>718.16490883033043</v>
      </c>
      <c r="M31" s="371">
        <f t="shared" si="25"/>
        <v>910.63310439685904</v>
      </c>
      <c r="N31" s="397">
        <f t="shared" si="30"/>
        <v>0.13599508866557095</v>
      </c>
      <c r="O31" s="475"/>
      <c r="P31" s="19">
        <v>13.599508866557098</v>
      </c>
      <c r="Q31" s="19">
        <f t="shared" si="28"/>
        <v>0.13599508866557097</v>
      </c>
      <c r="R31" s="420">
        <f t="shared" si="26"/>
        <v>910.63310439685881</v>
      </c>
      <c r="S31" s="19">
        <v>910.63310439685904</v>
      </c>
      <c r="U31" s="39"/>
      <c r="V31" s="39"/>
      <c r="W31" s="39"/>
      <c r="Y31" s="515">
        <f t="shared" si="19"/>
        <v>28726.596353213215</v>
      </c>
      <c r="Z31" s="515">
        <f t="shared" si="20"/>
        <v>36425.324175874361</v>
      </c>
      <c r="AA31" s="33"/>
      <c r="AB31" s="33"/>
    </row>
    <row r="32" spans="1:28" s="19" customFormat="1" ht="15.75">
      <c r="A32" s="473"/>
      <c r="B32" s="24" t="s">
        <v>174</v>
      </c>
      <c r="C32" s="25" t="s">
        <v>888</v>
      </c>
      <c r="D32" s="26" t="s">
        <v>212</v>
      </c>
      <c r="E32" s="100">
        <f>E28</f>
        <v>42.61</v>
      </c>
      <c r="F32" s="370">
        <f>G32*1.5</f>
        <v>2.138280480401737</v>
      </c>
      <c r="G32" s="370">
        <v>1.4255203202678246</v>
      </c>
      <c r="H32" s="370">
        <f t="shared" si="27"/>
        <v>3.5638008006695614</v>
      </c>
      <c r="I32" s="370">
        <f>H32*(1+'BDI - HABITAÇÃO'!$C$22)</f>
        <v>4.5188994152490043</v>
      </c>
      <c r="J32" s="370">
        <f t="shared" si="22"/>
        <v>91.112131269918009</v>
      </c>
      <c r="K32" s="370">
        <f t="shared" si="23"/>
        <v>60.741420846612009</v>
      </c>
      <c r="L32" s="371">
        <f t="shared" si="24"/>
        <v>151.85355211653001</v>
      </c>
      <c r="M32" s="371">
        <f t="shared" si="25"/>
        <v>192.55030408376007</v>
      </c>
      <c r="N32" s="397">
        <f t="shared" si="30"/>
        <v>2.875570364180571E-2</v>
      </c>
      <c r="O32" s="475"/>
      <c r="P32" s="19">
        <v>2.8755703641805681</v>
      </c>
      <c r="Q32" s="19">
        <f t="shared" si="28"/>
        <v>2.8755703641805682E-2</v>
      </c>
      <c r="R32" s="420">
        <f t="shared" si="26"/>
        <v>192.55030408375978</v>
      </c>
      <c r="S32" s="19">
        <v>192.55030408376001</v>
      </c>
      <c r="U32" s="39"/>
      <c r="V32" s="39"/>
      <c r="W32" s="39"/>
      <c r="Y32" s="515">
        <f t="shared" si="19"/>
        <v>6074.1420846612</v>
      </c>
      <c r="Z32" s="515">
        <f t="shared" si="20"/>
        <v>7702.0121633504023</v>
      </c>
      <c r="AA32" s="33"/>
      <c r="AB32" s="33"/>
    </row>
    <row r="33" spans="1:26" ht="15.75">
      <c r="A33" s="476"/>
      <c r="B33" s="56"/>
      <c r="C33" s="429" t="s">
        <v>220</v>
      </c>
      <c r="D33" s="56"/>
      <c r="E33" s="265"/>
      <c r="F33" s="373"/>
      <c r="G33" s="373"/>
      <c r="H33" s="373"/>
      <c r="I33" s="373"/>
      <c r="J33" s="373"/>
      <c r="K33" s="373"/>
      <c r="L33" s="372">
        <f>SUM(L27:L32)</f>
        <v>5280.8150344045753</v>
      </c>
      <c r="M33" s="372">
        <f>SUM(M27:M32)</f>
        <v>6696.0734636250027</v>
      </c>
      <c r="N33" s="398">
        <f>M33/$M$97</f>
        <v>0.13590000000000005</v>
      </c>
      <c r="O33" s="477"/>
      <c r="P33" s="420">
        <f>M33*40</f>
        <v>267842.9385450001</v>
      </c>
      <c r="Q33" s="19"/>
      <c r="R33" s="19"/>
      <c r="S33" s="19" t="s">
        <v>387</v>
      </c>
      <c r="T33" s="410">
        <v>267842.93854499998</v>
      </c>
      <c r="U33" s="39" t="str">
        <f>IF(T33=P33,"BOA GAROTO","FAZ BATER")</f>
        <v>BOA GAROTO</v>
      </c>
      <c r="V33" s="39"/>
      <c r="W33" s="39"/>
      <c r="Y33" s="515">
        <f t="shared" si="19"/>
        <v>211232.60137618301</v>
      </c>
      <c r="Z33" s="515">
        <f t="shared" si="20"/>
        <v>267842.9385450001</v>
      </c>
    </row>
    <row r="34" spans="1:26">
      <c r="A34" s="471">
        <v>4</v>
      </c>
      <c r="B34" s="380"/>
      <c r="C34" s="381" t="s">
        <v>455</v>
      </c>
      <c r="D34" s="382"/>
      <c r="E34" s="383"/>
      <c r="F34" s="383"/>
      <c r="G34" s="383"/>
      <c r="H34" s="383"/>
      <c r="I34" s="383"/>
      <c r="J34" s="383"/>
      <c r="K34" s="383"/>
      <c r="L34" s="384"/>
      <c r="M34" s="384"/>
      <c r="N34" s="395"/>
      <c r="O34" s="478"/>
      <c r="U34" s="39"/>
      <c r="V34" s="39"/>
      <c r="W34" s="39"/>
      <c r="Y34" s="515">
        <f t="shared" si="19"/>
        <v>0</v>
      </c>
      <c r="Z34" s="515">
        <f t="shared" si="20"/>
        <v>0</v>
      </c>
    </row>
    <row r="35" spans="1:26" ht="15.75">
      <c r="A35" s="473"/>
      <c r="B35" s="24" t="s">
        <v>5</v>
      </c>
      <c r="C35" s="25" t="s">
        <v>889</v>
      </c>
      <c r="D35" s="26" t="s">
        <v>212</v>
      </c>
      <c r="E35" s="100">
        <v>92.956200000000024</v>
      </c>
      <c r="F35" s="370">
        <f>G35*1.2</f>
        <v>1.2047732610746482</v>
      </c>
      <c r="G35" s="370">
        <v>1.0039777175622069</v>
      </c>
      <c r="H35" s="370">
        <f t="shared" ref="H35:H44" si="31">F35+G35</f>
        <v>2.2087509786368553</v>
      </c>
      <c r="I35" s="370">
        <f>H35*(1+'BDI - HABITAÇÃO'!$C$22)</f>
        <v>2.8006962409115328</v>
      </c>
      <c r="J35" s="370">
        <f t="shared" ref="J35:J44" si="32">E35*F35</f>
        <v>111.99114421110724</v>
      </c>
      <c r="K35" s="370">
        <f t="shared" ref="K35:K44" si="33">E35*G35</f>
        <v>93.325953509256038</v>
      </c>
      <c r="L35" s="371">
        <f t="shared" ref="L35:L44" si="34">H35*E35</f>
        <v>205.31709772036331</v>
      </c>
      <c r="M35" s="371">
        <f t="shared" ref="M35:M44" si="35">I35*E35</f>
        <v>260.3420799094207</v>
      </c>
      <c r="N35" s="397">
        <f>M35/$M$45</f>
        <v>2.760588558855875E-2</v>
      </c>
      <c r="O35" s="474">
        <f>M45/M98</f>
        <v>2.6427555000000029E-3</v>
      </c>
      <c r="P35" s="413">
        <v>2.7605885588558854</v>
      </c>
      <c r="Q35" s="19">
        <f t="shared" ref="Q35:Q44" si="36">P35/100</f>
        <v>2.7605885588558855E-2</v>
      </c>
      <c r="R35" s="416">
        <f>Q35*$T$45/40</f>
        <v>260.34207990942139</v>
      </c>
      <c r="S35" s="413">
        <v>260.34207990942099</v>
      </c>
      <c r="U35" s="39"/>
      <c r="V35" s="39"/>
      <c r="W35" s="39"/>
      <c r="Y35" s="515">
        <f t="shared" si="19"/>
        <v>8212.6839088145316</v>
      </c>
      <c r="Z35" s="515">
        <f t="shared" si="20"/>
        <v>10413.683196376827</v>
      </c>
    </row>
    <row r="36" spans="1:26" ht="15.75">
      <c r="A36" s="473"/>
      <c r="B36" s="24" t="s">
        <v>9</v>
      </c>
      <c r="C36" s="25" t="s">
        <v>890</v>
      </c>
      <c r="D36" s="26" t="s">
        <v>212</v>
      </c>
      <c r="E36" s="100">
        <v>30.26</v>
      </c>
      <c r="F36" s="370">
        <f>G36*1.2</f>
        <v>2.2725818617818274</v>
      </c>
      <c r="G36" s="370">
        <v>1.8938182181515228</v>
      </c>
      <c r="H36" s="370">
        <f t="shared" si="31"/>
        <v>4.16640007993335</v>
      </c>
      <c r="I36" s="370">
        <f>H36*(1+'BDI - HABITAÇÃO'!$C$22)</f>
        <v>5.2829953013554878</v>
      </c>
      <c r="J36" s="370">
        <f t="shared" si="32"/>
        <v>68.768327137518099</v>
      </c>
      <c r="K36" s="370">
        <f t="shared" si="33"/>
        <v>57.306939281265088</v>
      </c>
      <c r="L36" s="371">
        <f t="shared" si="34"/>
        <v>126.07526641878317</v>
      </c>
      <c r="M36" s="371">
        <f t="shared" si="35"/>
        <v>159.86343781901707</v>
      </c>
      <c r="N36" s="397">
        <f t="shared" ref="N36:N44" si="37">M36/$M$45</f>
        <v>1.6951434726806016E-2</v>
      </c>
      <c r="O36" s="475"/>
      <c r="P36" s="413">
        <v>1.6951434726806012</v>
      </c>
      <c r="Q36" s="19">
        <f t="shared" si="36"/>
        <v>1.6951434726806013E-2</v>
      </c>
      <c r="R36" s="416">
        <f t="shared" ref="R36:R44" si="38">Q36*$T$45/40</f>
        <v>159.86343781901684</v>
      </c>
      <c r="S36" s="413">
        <v>159.86343781901701</v>
      </c>
      <c r="U36" s="39"/>
      <c r="V36" s="39"/>
      <c r="W36" s="39"/>
      <c r="Y36" s="515">
        <f t="shared" si="19"/>
        <v>5043.0106567513267</v>
      </c>
      <c r="Z36" s="515">
        <f t="shared" si="20"/>
        <v>6394.5375127606821</v>
      </c>
    </row>
    <row r="37" spans="1:26" ht="15.75">
      <c r="A37" s="473"/>
      <c r="B37" s="24" t="s">
        <v>432</v>
      </c>
      <c r="C37" s="25" t="s">
        <v>891</v>
      </c>
      <c r="D37" s="26" t="s">
        <v>212</v>
      </c>
      <c r="E37" s="100">
        <v>92.956200000000024</v>
      </c>
      <c r="F37" s="370">
        <f>G37*1.5</f>
        <v>11.974428484245081</v>
      </c>
      <c r="G37" s="370">
        <v>7.9829523228300534</v>
      </c>
      <c r="H37" s="370">
        <f t="shared" si="31"/>
        <v>19.957380807075133</v>
      </c>
      <c r="I37" s="370">
        <f>H37*(1+'BDI - HABITAÇÃO'!$C$22)</f>
        <v>25.30595886337127</v>
      </c>
      <c r="J37" s="370">
        <f t="shared" si="32"/>
        <v>1113.0973690671829</v>
      </c>
      <c r="K37" s="370">
        <f t="shared" si="33"/>
        <v>742.06491271145524</v>
      </c>
      <c r="L37" s="371">
        <f t="shared" si="34"/>
        <v>1855.1622817786379</v>
      </c>
      <c r="M37" s="371">
        <f t="shared" si="35"/>
        <v>2352.3457732953129</v>
      </c>
      <c r="N37" s="397">
        <f t="shared" si="37"/>
        <v>0.24943562064539807</v>
      </c>
      <c r="O37" s="475"/>
      <c r="P37" s="5">
        <v>24.94356206453979</v>
      </c>
      <c r="Q37" s="19">
        <f t="shared" si="36"/>
        <v>0.2494356206453979</v>
      </c>
      <c r="R37" s="416">
        <f t="shared" si="38"/>
        <v>2352.3457732953088</v>
      </c>
      <c r="S37" s="5">
        <v>2352.3457732953102</v>
      </c>
      <c r="T37" s="410"/>
      <c r="U37" s="39"/>
      <c r="V37" s="39"/>
      <c r="W37" s="39"/>
      <c r="Y37" s="515">
        <f t="shared" si="19"/>
        <v>74206.491271145511</v>
      </c>
      <c r="Z37" s="515">
        <f t="shared" si="20"/>
        <v>94093.830931812525</v>
      </c>
    </row>
    <row r="38" spans="1:26" ht="15.75">
      <c r="A38" s="473"/>
      <c r="B38" s="24" t="s">
        <v>433</v>
      </c>
      <c r="C38" s="25" t="s">
        <v>892</v>
      </c>
      <c r="D38" s="26" t="s">
        <v>212</v>
      </c>
      <c r="E38" s="100">
        <v>30.26</v>
      </c>
      <c r="F38" s="370">
        <f>G38*1.5</f>
        <v>10.483104801424984</v>
      </c>
      <c r="G38" s="370">
        <v>6.9887365342833228</v>
      </c>
      <c r="H38" s="370">
        <f t="shared" ref="H38:H43" si="39">F38+G38</f>
        <v>17.471841335708305</v>
      </c>
      <c r="I38" s="370">
        <f>H38*(1+'BDI - HABITAÇÃO'!$C$22)</f>
        <v>22.154294813678131</v>
      </c>
      <c r="J38" s="370">
        <f t="shared" si="32"/>
        <v>317.21875129112004</v>
      </c>
      <c r="K38" s="370">
        <f t="shared" si="33"/>
        <v>211.47916752741335</v>
      </c>
      <c r="L38" s="371">
        <f t="shared" si="34"/>
        <v>528.69791881853337</v>
      </c>
      <c r="M38" s="371">
        <f t="shared" si="35"/>
        <v>670.38896106190032</v>
      </c>
      <c r="N38" s="397">
        <f t="shared" si="37"/>
        <v>7.1086014851485052E-2</v>
      </c>
      <c r="O38" s="475"/>
      <c r="P38" s="5">
        <v>7.1086014851485153</v>
      </c>
      <c r="Q38" s="19">
        <f t="shared" si="36"/>
        <v>7.1086014851485149E-2</v>
      </c>
      <c r="R38" s="416">
        <f t="shared" si="38"/>
        <v>670.38896106190055</v>
      </c>
      <c r="S38" s="5">
        <v>670.388961061901</v>
      </c>
      <c r="T38" s="410"/>
      <c r="U38" s="39"/>
      <c r="V38" s="39"/>
      <c r="W38" s="39"/>
      <c r="Y38" s="515">
        <f t="shared" si="19"/>
        <v>21147.916752741334</v>
      </c>
      <c r="Z38" s="515">
        <f t="shared" si="20"/>
        <v>26815.558442476013</v>
      </c>
    </row>
    <row r="39" spans="1:26" ht="15.75">
      <c r="A39" s="473"/>
      <c r="B39" s="24" t="s">
        <v>481</v>
      </c>
      <c r="C39" s="25" t="s">
        <v>893</v>
      </c>
      <c r="D39" s="26" t="s">
        <v>212</v>
      </c>
      <c r="E39" s="100">
        <v>66.798000000000002</v>
      </c>
      <c r="F39" s="370">
        <f>G39*1.2</f>
        <v>1.7639651356218231</v>
      </c>
      <c r="G39" s="370">
        <v>1.4699709463515194</v>
      </c>
      <c r="H39" s="370">
        <f t="shared" si="39"/>
        <v>3.2339360819733427</v>
      </c>
      <c r="I39" s="370">
        <f>H39*(1+'BDI - HABITAÇÃO'!$C$22)</f>
        <v>4.1006309519421986</v>
      </c>
      <c r="J39" s="370">
        <f t="shared" si="32"/>
        <v>117.82934312926655</v>
      </c>
      <c r="K39" s="370">
        <f t="shared" si="33"/>
        <v>98.191119274388797</v>
      </c>
      <c r="L39" s="371">
        <f t="shared" si="34"/>
        <v>216.02046240365536</v>
      </c>
      <c r="M39" s="371">
        <f t="shared" si="35"/>
        <v>273.91394632783499</v>
      </c>
      <c r="N39" s="397">
        <f t="shared" si="37"/>
        <v>2.9045005194963915E-2</v>
      </c>
      <c r="O39" s="475"/>
      <c r="P39" s="5">
        <v>2.904500519496394</v>
      </c>
      <c r="Q39" s="19">
        <f t="shared" si="36"/>
        <v>2.904500519496394E-2</v>
      </c>
      <c r="R39" s="416">
        <f t="shared" si="38"/>
        <v>273.91394632783488</v>
      </c>
      <c r="S39" s="5">
        <v>273.91394632783499</v>
      </c>
      <c r="T39" s="410"/>
      <c r="U39" s="39"/>
      <c r="V39" s="39"/>
      <c r="W39" s="39"/>
      <c r="Y39" s="515">
        <f t="shared" si="19"/>
        <v>8640.8184961462139</v>
      </c>
      <c r="Z39" s="515">
        <f t="shared" si="20"/>
        <v>10956.5578531134</v>
      </c>
    </row>
    <row r="40" spans="1:26" ht="15.75">
      <c r="A40" s="473"/>
      <c r="B40" s="24" t="s">
        <v>483</v>
      </c>
      <c r="C40" s="25" t="s">
        <v>894</v>
      </c>
      <c r="D40" s="26" t="s">
        <v>212</v>
      </c>
      <c r="E40" s="100">
        <v>66.798000000000002</v>
      </c>
      <c r="F40" s="370">
        <f>G40*1.5</f>
        <v>11.238658883067604</v>
      </c>
      <c r="G40" s="370">
        <v>7.4924392553784021</v>
      </c>
      <c r="H40" s="370">
        <f t="shared" si="39"/>
        <v>18.731098138446008</v>
      </c>
      <c r="I40" s="370">
        <f>H40*(1+'BDI - HABITAÇÃO'!$C$22)</f>
        <v>23.751032439549537</v>
      </c>
      <c r="J40" s="370">
        <f t="shared" si="32"/>
        <v>750.71993607114985</v>
      </c>
      <c r="K40" s="370">
        <f t="shared" si="33"/>
        <v>500.47995738076651</v>
      </c>
      <c r="L40" s="371">
        <f t="shared" si="34"/>
        <v>1251.1998934519165</v>
      </c>
      <c r="M40" s="371">
        <f t="shared" si="35"/>
        <v>1586.52146489703</v>
      </c>
      <c r="N40" s="397">
        <f t="shared" si="37"/>
        <v>0.16822993063195235</v>
      </c>
      <c r="O40" s="475"/>
      <c r="P40" s="5">
        <v>16.822993063195209</v>
      </c>
      <c r="Q40" s="19">
        <f t="shared" si="36"/>
        <v>0.1682299306319521</v>
      </c>
      <c r="R40" s="416">
        <f t="shared" si="38"/>
        <v>1586.5214648970259</v>
      </c>
      <c r="S40" s="5">
        <v>1586.52146489703</v>
      </c>
      <c r="T40" s="410"/>
      <c r="U40" s="39"/>
      <c r="V40" s="39"/>
      <c r="W40" s="39"/>
      <c r="Y40" s="515">
        <f t="shared" si="19"/>
        <v>50047.995738076657</v>
      </c>
      <c r="Z40" s="515">
        <f t="shared" si="20"/>
        <v>63460.858595881204</v>
      </c>
    </row>
    <row r="41" spans="1:26" ht="15.75">
      <c r="A41" s="473"/>
      <c r="B41" s="24" t="s">
        <v>689</v>
      </c>
      <c r="C41" s="25" t="s">
        <v>895</v>
      </c>
      <c r="D41" s="26" t="s">
        <v>693</v>
      </c>
      <c r="E41" s="100">
        <v>22</v>
      </c>
      <c r="F41" s="370">
        <f>G41*0.8</f>
        <v>8.2381106145651888</v>
      </c>
      <c r="G41" s="370">
        <v>10.297638268206486</v>
      </c>
      <c r="H41" s="370">
        <f t="shared" si="39"/>
        <v>18.535748882771674</v>
      </c>
      <c r="I41" s="370">
        <f>H41*(1+'BDI - HABITAÇÃO'!$C$22)</f>
        <v>23.503329583354482</v>
      </c>
      <c r="J41" s="370">
        <f t="shared" si="32"/>
        <v>181.23843352043414</v>
      </c>
      <c r="K41" s="370">
        <f t="shared" si="33"/>
        <v>226.54804190054267</v>
      </c>
      <c r="L41" s="371">
        <f t="shared" si="34"/>
        <v>407.78647542097684</v>
      </c>
      <c r="M41" s="371">
        <f t="shared" si="35"/>
        <v>517.07325083379862</v>
      </c>
      <c r="N41" s="397">
        <f t="shared" si="37"/>
        <v>5.4828881325632593E-2</v>
      </c>
      <c r="O41" s="475"/>
      <c r="P41" s="5">
        <v>5.4828881325632564</v>
      </c>
      <c r="Q41" s="19">
        <f t="shared" si="36"/>
        <v>5.4828881325632566E-2</v>
      </c>
      <c r="R41" s="416">
        <f t="shared" si="38"/>
        <v>517.07325083379772</v>
      </c>
      <c r="S41" s="5">
        <v>517.07325083379806</v>
      </c>
      <c r="T41" s="410"/>
      <c r="U41" s="39"/>
      <c r="V41" s="39"/>
      <c r="W41" s="39"/>
      <c r="Y41" s="515">
        <f t="shared" si="19"/>
        <v>16311.459016839073</v>
      </c>
      <c r="Z41" s="515">
        <f t="shared" si="20"/>
        <v>20682.930033351946</v>
      </c>
    </row>
    <row r="42" spans="1:26" ht="15.75">
      <c r="A42" s="473"/>
      <c r="B42" s="24" t="s">
        <v>690</v>
      </c>
      <c r="C42" s="25" t="s">
        <v>896</v>
      </c>
      <c r="D42" s="26" t="s">
        <v>218</v>
      </c>
      <c r="E42" s="100">
        <v>42.951999999999998</v>
      </c>
      <c r="F42" s="370">
        <f>G42*1.1</f>
        <v>6.0781721057316735</v>
      </c>
      <c r="G42" s="370">
        <v>5.525611005210612</v>
      </c>
      <c r="H42" s="370">
        <f t="shared" si="39"/>
        <v>11.603783110942285</v>
      </c>
      <c r="I42" s="370">
        <f>H42*(1+'BDI - HABITAÇÃO'!$C$22)</f>
        <v>14.713596984674817</v>
      </c>
      <c r="J42" s="370">
        <f t="shared" si="32"/>
        <v>261.06964828538685</v>
      </c>
      <c r="K42" s="370">
        <f t="shared" si="33"/>
        <v>237.3360438958062</v>
      </c>
      <c r="L42" s="371">
        <f t="shared" si="34"/>
        <v>498.40569218119299</v>
      </c>
      <c r="M42" s="371">
        <f t="shared" si="35"/>
        <v>631.97841768575267</v>
      </c>
      <c r="N42" s="397">
        <f t="shared" si="37"/>
        <v>6.7013077175773039E-2</v>
      </c>
      <c r="O42" s="475"/>
      <c r="P42" s="5">
        <v>6.7013077175773139</v>
      </c>
      <c r="Q42" s="19">
        <f t="shared" si="36"/>
        <v>6.7013077175773136E-2</v>
      </c>
      <c r="R42" s="416">
        <f t="shared" si="38"/>
        <v>631.97841768575279</v>
      </c>
      <c r="S42" s="5">
        <v>631.97841768575302</v>
      </c>
      <c r="T42" s="410"/>
      <c r="U42" s="39"/>
      <c r="V42" s="39"/>
      <c r="W42" s="39"/>
      <c r="Y42" s="515">
        <f t="shared" si="19"/>
        <v>19936.22768724772</v>
      </c>
      <c r="Z42" s="515">
        <f t="shared" si="20"/>
        <v>25279.136707430109</v>
      </c>
    </row>
    <row r="43" spans="1:26" ht="25.5">
      <c r="A43" s="473"/>
      <c r="B43" s="24" t="s">
        <v>691</v>
      </c>
      <c r="C43" s="25" t="s">
        <v>897</v>
      </c>
      <c r="D43" s="26" t="s">
        <v>218</v>
      </c>
      <c r="E43" s="100">
        <v>89.51</v>
      </c>
      <c r="F43" s="370">
        <f>G43*0.9</f>
        <v>5.0412402477666802</v>
      </c>
      <c r="G43" s="370">
        <v>5.6013780530740886</v>
      </c>
      <c r="H43" s="370">
        <f t="shared" si="39"/>
        <v>10.64261830084077</v>
      </c>
      <c r="I43" s="370">
        <f>H43*(1+'BDI - HABITAÇÃO'!$C$22)</f>
        <v>13.494840005466097</v>
      </c>
      <c r="J43" s="370">
        <f t="shared" si="32"/>
        <v>451.24141457759555</v>
      </c>
      <c r="K43" s="370">
        <f t="shared" si="33"/>
        <v>501.37934953066173</v>
      </c>
      <c r="L43" s="371">
        <f t="shared" si="34"/>
        <v>952.62076410825739</v>
      </c>
      <c r="M43" s="371">
        <f t="shared" si="35"/>
        <v>1207.9231288892704</v>
      </c>
      <c r="N43" s="397">
        <f t="shared" si="37"/>
        <v>0.12808450983987263</v>
      </c>
      <c r="O43" s="475"/>
      <c r="P43" s="5">
        <v>12.808450983987289</v>
      </c>
      <c r="Q43" s="19">
        <f t="shared" si="36"/>
        <v>0.12808450983987288</v>
      </c>
      <c r="R43" s="416">
        <f t="shared" si="38"/>
        <v>1207.9231288892713</v>
      </c>
      <c r="S43" s="5">
        <v>1207.9231288892699</v>
      </c>
      <c r="T43" s="410"/>
      <c r="U43" s="39"/>
      <c r="V43" s="39"/>
      <c r="W43" s="39"/>
      <c r="Y43" s="515">
        <f t="shared" si="19"/>
        <v>38104.830564330296</v>
      </c>
      <c r="Z43" s="515">
        <f t="shared" si="20"/>
        <v>48316.925155570818</v>
      </c>
    </row>
    <row r="44" spans="1:26" ht="15.75">
      <c r="A44" s="473"/>
      <c r="B44" s="24" t="s">
        <v>692</v>
      </c>
      <c r="C44" s="25" t="s">
        <v>898</v>
      </c>
      <c r="D44" s="26" t="s">
        <v>218</v>
      </c>
      <c r="E44" s="100">
        <v>65.05</v>
      </c>
      <c r="F44" s="370">
        <f>G44</f>
        <v>10.731386806500888</v>
      </c>
      <c r="G44" s="370">
        <v>10.731386806500888</v>
      </c>
      <c r="H44" s="370">
        <f t="shared" si="31"/>
        <v>21.462773613001776</v>
      </c>
      <c r="I44" s="370">
        <f>H44*(1+'BDI - HABITAÇÃO'!$C$22)</f>
        <v>27.214796941286252</v>
      </c>
      <c r="J44" s="370">
        <f t="shared" si="32"/>
        <v>698.07671176288272</v>
      </c>
      <c r="K44" s="370">
        <f t="shared" si="33"/>
        <v>698.07671176288272</v>
      </c>
      <c r="L44" s="371">
        <f t="shared" si="34"/>
        <v>1396.1534235257654</v>
      </c>
      <c r="M44" s="371">
        <f t="shared" si="35"/>
        <v>1770.3225410306707</v>
      </c>
      <c r="N44" s="397">
        <f t="shared" si="37"/>
        <v>0.18771964001955738</v>
      </c>
      <c r="O44" s="475"/>
      <c r="P44" s="5">
        <v>18.771964001955752</v>
      </c>
      <c r="Q44" s="19">
        <f t="shared" si="36"/>
        <v>0.18771964001955752</v>
      </c>
      <c r="R44" s="416">
        <f t="shared" si="38"/>
        <v>1770.32254103067</v>
      </c>
      <c r="S44" s="5">
        <v>1770.32254103067</v>
      </c>
      <c r="T44" s="410"/>
      <c r="U44" s="39"/>
      <c r="V44" s="39"/>
      <c r="W44" s="39"/>
      <c r="Y44" s="515">
        <f t="shared" si="19"/>
        <v>55846.136941030622</v>
      </c>
      <c r="Z44" s="515">
        <f t="shared" si="20"/>
        <v>70812.901641226825</v>
      </c>
    </row>
    <row r="45" spans="1:26" ht="15.75">
      <c r="A45" s="476"/>
      <c r="B45" s="56"/>
      <c r="C45" s="429" t="s">
        <v>220</v>
      </c>
      <c r="D45" s="56"/>
      <c r="E45" s="265"/>
      <c r="F45" s="373"/>
      <c r="G45" s="373"/>
      <c r="H45" s="373"/>
      <c r="I45" s="373"/>
      <c r="J45" s="373"/>
      <c r="K45" s="373"/>
      <c r="L45" s="372">
        <f>SUM(L35:L44)</f>
        <v>7437.4392758280828</v>
      </c>
      <c r="M45" s="372">
        <f>SUM(M35:M44)</f>
        <v>9430.6730017500104</v>
      </c>
      <c r="N45" s="398">
        <f>M45/$M$97</f>
        <v>0.19140000000000021</v>
      </c>
      <c r="O45" s="477"/>
      <c r="P45" s="420">
        <f>M45*40</f>
        <v>377226.9200700004</v>
      </c>
      <c r="Q45" s="19"/>
      <c r="R45" s="19"/>
      <c r="S45" s="33" t="s">
        <v>455</v>
      </c>
      <c r="T45" s="410">
        <v>377226.92006999999</v>
      </c>
      <c r="U45" s="39" t="str">
        <f>IF(T45=P45,"BOA GAROTO","FAZ BATER")</f>
        <v>BOA GAROTO</v>
      </c>
      <c r="V45" s="39"/>
      <c r="W45" s="39"/>
      <c r="Y45" s="515">
        <f t="shared" si="19"/>
        <v>297497.5710331233</v>
      </c>
      <c r="Z45" s="515">
        <f t="shared" si="20"/>
        <v>377226.9200700004</v>
      </c>
    </row>
    <row r="46" spans="1:26">
      <c r="A46" s="471">
        <v>5</v>
      </c>
      <c r="B46" s="380"/>
      <c r="C46" s="381" t="s">
        <v>388</v>
      </c>
      <c r="D46" s="382"/>
      <c r="E46" s="383"/>
      <c r="F46" s="383"/>
      <c r="G46" s="383"/>
      <c r="H46" s="383"/>
      <c r="I46" s="383"/>
      <c r="J46" s="383"/>
      <c r="K46" s="383"/>
      <c r="L46" s="384"/>
      <c r="M46" s="384"/>
      <c r="N46" s="395"/>
      <c r="O46" s="478"/>
      <c r="P46" s="5"/>
      <c r="Q46" s="5"/>
      <c r="R46" s="5"/>
      <c r="S46" s="5"/>
      <c r="T46" s="410"/>
      <c r="U46" s="39"/>
      <c r="V46" s="39"/>
      <c r="W46" s="39"/>
      <c r="Y46" s="515">
        <f t="shared" si="19"/>
        <v>0</v>
      </c>
      <c r="Z46" s="515">
        <f t="shared" si="20"/>
        <v>0</v>
      </c>
    </row>
    <row r="47" spans="1:26" ht="15.75">
      <c r="A47" s="473"/>
      <c r="B47" s="24" t="s">
        <v>10</v>
      </c>
      <c r="C47" s="25" t="s">
        <v>899</v>
      </c>
      <c r="D47" s="26" t="s">
        <v>873</v>
      </c>
      <c r="E47" s="100">
        <v>5.1400000000000006</v>
      </c>
      <c r="F47" s="370">
        <f>2*G47</f>
        <v>181.73192072206805</v>
      </c>
      <c r="G47" s="370">
        <v>90.865960361034027</v>
      </c>
      <c r="H47" s="370">
        <f t="shared" ref="H47:H50" si="40">F47+G47</f>
        <v>272.5978810831021</v>
      </c>
      <c r="I47" s="370">
        <f>H47*(1+'BDI - HABITAÇÃO'!$C$22)</f>
        <v>345.65411321337348</v>
      </c>
      <c r="J47" s="370">
        <f>E47*F47</f>
        <v>934.10207251142992</v>
      </c>
      <c r="K47" s="370">
        <f>E47*G47</f>
        <v>467.05103625571496</v>
      </c>
      <c r="L47" s="371">
        <f>H47*E47</f>
        <v>1401.1531087671449</v>
      </c>
      <c r="M47" s="371">
        <f>I47*E47</f>
        <v>1776.66214191674</v>
      </c>
      <c r="N47" s="397">
        <f>M47/$M$51</f>
        <v>0.57417522800969711</v>
      </c>
      <c r="O47" s="474">
        <f>M51/M98</f>
        <v>8.6711100000000201E-4</v>
      </c>
      <c r="P47" s="5">
        <v>16.502466617478987</v>
      </c>
      <c r="Q47" s="19">
        <f t="shared" ref="Q47:Q50" si="41">P47/100</f>
        <v>0.16502466617478986</v>
      </c>
      <c r="R47" s="416">
        <f>Q47*$T$51/40</f>
        <v>510.63344876704571</v>
      </c>
      <c r="S47" s="5">
        <v>510.63344876704599</v>
      </c>
      <c r="T47" s="411"/>
      <c r="U47" s="39"/>
      <c r="V47" s="39"/>
      <c r="W47" s="39"/>
      <c r="Y47" s="515">
        <f t="shared" si="19"/>
        <v>56046.124350685794</v>
      </c>
      <c r="Z47" s="515">
        <f t="shared" si="20"/>
        <v>71066.485676669603</v>
      </c>
    </row>
    <row r="48" spans="1:26" ht="15.75">
      <c r="A48" s="473"/>
      <c r="B48" s="24" t="s">
        <v>15</v>
      </c>
      <c r="C48" s="25" t="s">
        <v>900</v>
      </c>
      <c r="D48" s="26" t="s">
        <v>693</v>
      </c>
      <c r="E48" s="100">
        <v>1</v>
      </c>
      <c r="F48" s="370">
        <f>2*G48</f>
        <v>268.47184477762681</v>
      </c>
      <c r="G48" s="370">
        <v>134.23592238881341</v>
      </c>
      <c r="H48" s="370">
        <f t="shared" si="40"/>
        <v>402.70776716644025</v>
      </c>
      <c r="I48" s="370">
        <f>H48*(1+'BDI - HABITAÇÃO'!$C$22)</f>
        <v>510.63344876704622</v>
      </c>
      <c r="J48" s="370">
        <f>E48*F48</f>
        <v>268.47184477762681</v>
      </c>
      <c r="K48" s="370">
        <f>E48*G48</f>
        <v>134.23592238881341</v>
      </c>
      <c r="L48" s="371">
        <f>H48*E48</f>
        <v>402.70776716644025</v>
      </c>
      <c r="M48" s="371">
        <f>I48*E48</f>
        <v>510.63344876704622</v>
      </c>
      <c r="N48" s="397">
        <f t="shared" ref="N48:N50" si="42">M48/$M$51</f>
        <v>0.16502466617478964</v>
      </c>
      <c r="O48" s="475"/>
      <c r="P48" s="5">
        <v>57.417522800969707</v>
      </c>
      <c r="Q48" s="19">
        <f t="shared" si="41"/>
        <v>0.57417522800969711</v>
      </c>
      <c r="R48" s="416">
        <f t="shared" ref="R48:R50" si="43">Q48*$T$51/40</f>
        <v>1776.6621419167357</v>
      </c>
      <c r="S48" s="5">
        <v>1776.66214191674</v>
      </c>
      <c r="T48" s="410"/>
      <c r="U48" s="39"/>
      <c r="V48" s="39"/>
      <c r="W48" s="39"/>
      <c r="Y48" s="515">
        <f t="shared" si="19"/>
        <v>16108.310686657609</v>
      </c>
      <c r="Z48" s="515">
        <f t="shared" si="20"/>
        <v>20425.337950681849</v>
      </c>
    </row>
    <row r="49" spans="1:26" ht="15.75">
      <c r="A49" s="473"/>
      <c r="B49" s="24" t="s">
        <v>83</v>
      </c>
      <c r="C49" s="25" t="s">
        <v>901</v>
      </c>
      <c r="D49" s="26" t="s">
        <v>693</v>
      </c>
      <c r="E49" s="100">
        <v>1</v>
      </c>
      <c r="F49" s="370">
        <f>G49*1.25</f>
        <v>34.320108649671489</v>
      </c>
      <c r="G49" s="370">
        <v>27.456086919737192</v>
      </c>
      <c r="H49" s="370">
        <f t="shared" si="40"/>
        <v>61.776195569408685</v>
      </c>
      <c r="I49" s="370">
        <f>H49*(1+'BDI - HABITAÇÃO'!$C$22)</f>
        <v>78.332215982010212</v>
      </c>
      <c r="J49" s="370">
        <f>E49*F49</f>
        <v>34.320108649671489</v>
      </c>
      <c r="K49" s="370">
        <f>E49*G49</f>
        <v>27.456086919737192</v>
      </c>
      <c r="L49" s="371">
        <f>H49*E49</f>
        <v>61.776195569408685</v>
      </c>
      <c r="M49" s="371">
        <f>I49*E49</f>
        <v>78.332215982010212</v>
      </c>
      <c r="N49" s="397">
        <f t="shared" si="42"/>
        <v>2.5315121491502626E-2</v>
      </c>
      <c r="O49" s="475"/>
      <c r="P49" s="5">
        <v>2.5315121491502728</v>
      </c>
      <c r="Q49" s="19">
        <f t="shared" si="41"/>
        <v>2.5315121491502727E-2</v>
      </c>
      <c r="R49" s="416">
        <f t="shared" si="43"/>
        <v>78.332215982010325</v>
      </c>
      <c r="S49" s="5">
        <v>78.332215982010297</v>
      </c>
      <c r="T49" s="410"/>
      <c r="U49" s="39"/>
      <c r="V49" s="39"/>
      <c r="W49" s="39"/>
      <c r="Y49" s="515">
        <f t="shared" si="19"/>
        <v>2471.0478227763474</v>
      </c>
      <c r="Z49" s="515">
        <f t="shared" si="20"/>
        <v>3133.2886392804085</v>
      </c>
    </row>
    <row r="50" spans="1:26" ht="15.75">
      <c r="A50" s="473"/>
      <c r="B50" s="24" t="s">
        <v>84</v>
      </c>
      <c r="C50" s="25" t="s">
        <v>902</v>
      </c>
      <c r="D50" s="26" t="s">
        <v>693</v>
      </c>
      <c r="E50" s="100">
        <v>3</v>
      </c>
      <c r="F50" s="370">
        <f>1.5*G50</f>
        <v>114.9302518665948</v>
      </c>
      <c r="G50" s="370">
        <v>76.620167911063206</v>
      </c>
      <c r="H50" s="370">
        <f t="shared" si="40"/>
        <v>191.55041977765802</v>
      </c>
      <c r="I50" s="370">
        <f>H50*(1+'BDI - HABITAÇÃO'!$C$22)</f>
        <v>242.88593227807038</v>
      </c>
      <c r="J50" s="370">
        <f>E50*F50</f>
        <v>344.7907555997844</v>
      </c>
      <c r="K50" s="370">
        <f>E50*G50</f>
        <v>229.8605037331896</v>
      </c>
      <c r="L50" s="371">
        <f>H50*E50</f>
        <v>574.65125933297406</v>
      </c>
      <c r="M50" s="371">
        <f>I50*E50</f>
        <v>728.65779683421113</v>
      </c>
      <c r="N50" s="397">
        <f t="shared" si="42"/>
        <v>0.23548498432401069</v>
      </c>
      <c r="O50" s="475"/>
      <c r="P50" s="5">
        <v>23.548498432401043</v>
      </c>
      <c r="Q50" s="19">
        <f t="shared" si="41"/>
        <v>0.23548498432401044</v>
      </c>
      <c r="R50" s="416">
        <f t="shared" si="43"/>
        <v>728.65779683420863</v>
      </c>
      <c r="S50" s="5">
        <v>728.65779683420897</v>
      </c>
      <c r="T50" s="410"/>
      <c r="U50" s="39"/>
      <c r="V50" s="39"/>
      <c r="W50" s="39"/>
      <c r="Y50" s="515">
        <f t="shared" si="19"/>
        <v>22986.050373318962</v>
      </c>
      <c r="Z50" s="515">
        <f t="shared" si="20"/>
        <v>29146.311873368446</v>
      </c>
    </row>
    <row r="51" spans="1:26" ht="15.75">
      <c r="A51" s="476"/>
      <c r="B51" s="56"/>
      <c r="C51" s="429" t="s">
        <v>220</v>
      </c>
      <c r="D51" s="56"/>
      <c r="E51" s="265"/>
      <c r="F51" s="373"/>
      <c r="G51" s="373"/>
      <c r="H51" s="373"/>
      <c r="I51" s="373"/>
      <c r="J51" s="373"/>
      <c r="K51" s="373"/>
      <c r="L51" s="372">
        <f>SUM(L47:L50)</f>
        <v>2440.2883308359678</v>
      </c>
      <c r="M51" s="372">
        <f>SUM(M47:M50)</f>
        <v>3094.2856035000073</v>
      </c>
      <c r="N51" s="398">
        <f>M51/$M$97</f>
        <v>6.2800000000000147E-2</v>
      </c>
      <c r="O51" s="477"/>
      <c r="P51" s="416">
        <f>M51*40</f>
        <v>123771.42414000029</v>
      </c>
      <c r="S51" s="413" t="s">
        <v>388</v>
      </c>
      <c r="T51" s="410">
        <v>123771.42413999999</v>
      </c>
      <c r="U51" s="39" t="str">
        <f>IF(T51=P51,"BOA GAROTO","FAZ BATER")</f>
        <v>BOA GAROTO</v>
      </c>
      <c r="V51" s="39"/>
      <c r="W51" s="39"/>
      <c r="Y51" s="515">
        <f t="shared" si="19"/>
        <v>97611.533233438706</v>
      </c>
      <c r="Z51" s="515">
        <f t="shared" si="20"/>
        <v>123771.42414000029</v>
      </c>
    </row>
    <row r="52" spans="1:26">
      <c r="A52" s="471">
        <v>6</v>
      </c>
      <c r="B52" s="380"/>
      <c r="C52" s="381" t="s">
        <v>390</v>
      </c>
      <c r="D52" s="382"/>
      <c r="E52" s="383"/>
      <c r="F52" s="383"/>
      <c r="G52" s="383"/>
      <c r="H52" s="383"/>
      <c r="I52" s="383"/>
      <c r="J52" s="383"/>
      <c r="K52" s="383"/>
      <c r="L52" s="384"/>
      <c r="M52" s="384"/>
      <c r="N52" s="395"/>
      <c r="O52" s="478"/>
      <c r="P52" s="19"/>
      <c r="Q52" s="19"/>
      <c r="R52" s="19"/>
      <c r="S52" s="19"/>
      <c r="T52" s="411"/>
      <c r="U52" s="39"/>
      <c r="V52" s="39"/>
      <c r="W52" s="39"/>
      <c r="Y52" s="515">
        <f t="shared" si="19"/>
        <v>0</v>
      </c>
      <c r="Z52" s="515">
        <f t="shared" si="20"/>
        <v>0</v>
      </c>
    </row>
    <row r="53" spans="1:26" ht="15.75">
      <c r="A53" s="473"/>
      <c r="B53" s="24" t="s">
        <v>18</v>
      </c>
      <c r="C53" s="25" t="s">
        <v>903</v>
      </c>
      <c r="D53" s="26" t="s">
        <v>212</v>
      </c>
      <c r="E53" s="100">
        <v>92.956200000000024</v>
      </c>
      <c r="F53" s="370">
        <f>G53</f>
        <v>2.3055671047454762</v>
      </c>
      <c r="G53" s="370">
        <v>2.3055671047454762</v>
      </c>
      <c r="H53" s="370">
        <f t="shared" ref="H53:H59" si="44">F53+G53</f>
        <v>4.6111342094909524</v>
      </c>
      <c r="I53" s="370">
        <f>H53*(1+'BDI - HABITAÇÃO'!$C$22)</f>
        <v>5.846918177634528</v>
      </c>
      <c r="J53" s="370">
        <f t="shared" ref="J53:J59" si="45">E53*F53</f>
        <v>214.31675690214149</v>
      </c>
      <c r="K53" s="370">
        <f t="shared" ref="K53:K59" si="46">E53*G53</f>
        <v>214.31675690214149</v>
      </c>
      <c r="L53" s="371">
        <f t="shared" ref="L53:L59" si="47">H53*E53</f>
        <v>428.63351380428298</v>
      </c>
      <c r="M53" s="371">
        <f t="shared" ref="M53:M59" si="48">I53*E53</f>
        <v>543.50729550383085</v>
      </c>
      <c r="N53" s="397">
        <f>M53/$M$60</f>
        <v>0.15278032426202898</v>
      </c>
      <c r="O53" s="474">
        <f>M60/M98</f>
        <v>9.9690149999999964E-4</v>
      </c>
      <c r="P53" s="19">
        <v>15.278032426202886</v>
      </c>
      <c r="Q53" s="19">
        <f t="shared" ref="Q53:Q59" si="49">P53/100</f>
        <v>0.15278032426202887</v>
      </c>
      <c r="R53" s="416">
        <f>Q53*$T$60/40</f>
        <v>543.50729550383062</v>
      </c>
      <c r="S53" s="19">
        <v>543.50729550383096</v>
      </c>
      <c r="T53" s="410"/>
      <c r="U53" s="39"/>
      <c r="V53" s="39"/>
      <c r="W53" s="39"/>
      <c r="Y53" s="515">
        <f t="shared" si="19"/>
        <v>17145.340552171321</v>
      </c>
      <c r="Z53" s="515">
        <f t="shared" si="20"/>
        <v>21740.291820153234</v>
      </c>
    </row>
    <row r="54" spans="1:26" ht="15.75">
      <c r="A54" s="473"/>
      <c r="B54" s="24" t="s">
        <v>22</v>
      </c>
      <c r="C54" s="25" t="s">
        <v>904</v>
      </c>
      <c r="D54" s="26" t="s">
        <v>212</v>
      </c>
      <c r="E54" s="100">
        <v>92.956200000000024</v>
      </c>
      <c r="F54" s="370">
        <f>G54*1.5</f>
        <v>3.1370732605676821</v>
      </c>
      <c r="G54" s="370">
        <v>2.0913821737117879</v>
      </c>
      <c r="H54" s="370">
        <f t="shared" si="44"/>
        <v>5.2284554342794696</v>
      </c>
      <c r="I54" s="370">
        <f>H54*(1+'BDI - HABITAÇÃO'!$C$22)</f>
        <v>6.6296814906663677</v>
      </c>
      <c r="J54" s="370">
        <f t="shared" si="45"/>
        <v>291.61040942398165</v>
      </c>
      <c r="K54" s="370">
        <f t="shared" si="46"/>
        <v>194.40693961598774</v>
      </c>
      <c r="L54" s="371">
        <f t="shared" si="47"/>
        <v>486.01734903996936</v>
      </c>
      <c r="M54" s="371">
        <f t="shared" si="48"/>
        <v>616.26999858268118</v>
      </c>
      <c r="N54" s="397">
        <f t="shared" ref="N54:N59" si="50">M54/$M$60</f>
        <v>0.17323397679352501</v>
      </c>
      <c r="O54" s="475"/>
      <c r="P54" s="19">
        <v>17.323397679352524</v>
      </c>
      <c r="Q54" s="19">
        <f t="shared" si="49"/>
        <v>0.17323397679352526</v>
      </c>
      <c r="R54" s="416">
        <f t="shared" ref="R54:R59" si="51">Q54*$T$60/40</f>
        <v>616.26999858268232</v>
      </c>
      <c r="S54" s="19">
        <v>616.26999858268198</v>
      </c>
      <c r="T54" s="410"/>
      <c r="U54" s="39"/>
      <c r="V54" s="39"/>
      <c r="W54" s="39"/>
      <c r="Y54" s="515">
        <f t="shared" si="19"/>
        <v>19440.693961598776</v>
      </c>
      <c r="Z54" s="515">
        <f t="shared" si="20"/>
        <v>24650.799943307247</v>
      </c>
    </row>
    <row r="55" spans="1:26" ht="15.75">
      <c r="A55" s="473"/>
      <c r="B55" s="24" t="s">
        <v>25</v>
      </c>
      <c r="C55" s="25" t="s">
        <v>905</v>
      </c>
      <c r="D55" s="26" t="s">
        <v>212</v>
      </c>
      <c r="E55" s="100">
        <v>30.26</v>
      </c>
      <c r="F55" s="370">
        <f>G55*1.5</f>
        <v>6.9844016526324237</v>
      </c>
      <c r="G55" s="370">
        <v>4.6562677684216158</v>
      </c>
      <c r="H55" s="370">
        <f t="shared" ref="H55:H58" si="52">F55+G55</f>
        <v>11.640669421054039</v>
      </c>
      <c r="I55" s="370">
        <f>H55*(1+'BDI - HABITAÇÃO'!$C$22)</f>
        <v>14.760368825896521</v>
      </c>
      <c r="J55" s="370">
        <f t="shared" si="45"/>
        <v>211.34799400865717</v>
      </c>
      <c r="K55" s="370">
        <f t="shared" si="46"/>
        <v>140.89866267243809</v>
      </c>
      <c r="L55" s="371">
        <f t="shared" si="47"/>
        <v>352.2466566810952</v>
      </c>
      <c r="M55" s="371">
        <f t="shared" si="48"/>
        <v>446.64876067162874</v>
      </c>
      <c r="N55" s="397">
        <f t="shared" si="50"/>
        <v>0.12555331464941458</v>
      </c>
      <c r="O55" s="475"/>
      <c r="P55" s="19">
        <v>12.55533146494146</v>
      </c>
      <c r="Q55" s="19">
        <f t="shared" si="49"/>
        <v>0.1255533146494146</v>
      </c>
      <c r="R55" s="416">
        <f t="shared" si="51"/>
        <v>446.64876067162902</v>
      </c>
      <c r="S55" s="19">
        <v>446.64876067162902</v>
      </c>
      <c r="T55" s="410"/>
      <c r="U55" s="39"/>
      <c r="V55" s="39"/>
      <c r="W55" s="39"/>
      <c r="Y55" s="515">
        <f t="shared" si="19"/>
        <v>14089.866267243808</v>
      </c>
      <c r="Z55" s="515">
        <f t="shared" si="20"/>
        <v>17865.950426865151</v>
      </c>
    </row>
    <row r="56" spans="1:26" ht="15.75">
      <c r="A56" s="473"/>
      <c r="B56" s="24" t="s">
        <v>556</v>
      </c>
      <c r="C56" s="25" t="s">
        <v>906</v>
      </c>
      <c r="D56" s="26" t="s">
        <v>212</v>
      </c>
      <c r="E56" s="100">
        <v>30.26</v>
      </c>
      <c r="F56" s="370">
        <f>G56*1.5</f>
        <v>5.0418535597379686</v>
      </c>
      <c r="G56" s="370">
        <v>3.3612357064919789</v>
      </c>
      <c r="H56" s="370">
        <f t="shared" si="52"/>
        <v>8.4030892662299479</v>
      </c>
      <c r="I56" s="370">
        <f>H56*(1+'BDI - HABITAÇÃO'!$C$22)</f>
        <v>10.655117189579574</v>
      </c>
      <c r="J56" s="370">
        <f t="shared" si="45"/>
        <v>152.56648871767095</v>
      </c>
      <c r="K56" s="370">
        <f t="shared" si="46"/>
        <v>101.71099247844728</v>
      </c>
      <c r="L56" s="371">
        <f t="shared" si="47"/>
        <v>254.27748119611823</v>
      </c>
      <c r="M56" s="371">
        <f t="shared" si="48"/>
        <v>322.42384615667794</v>
      </c>
      <c r="N56" s="397">
        <f t="shared" si="50"/>
        <v>9.063359438434733E-2</v>
      </c>
      <c r="O56" s="475"/>
      <c r="P56" s="19">
        <v>9.0633594384347411</v>
      </c>
      <c r="Q56" s="19">
        <f t="shared" si="49"/>
        <v>9.0633594384347413E-2</v>
      </c>
      <c r="R56" s="416">
        <f t="shared" si="51"/>
        <v>322.42384615667839</v>
      </c>
      <c r="S56" s="19">
        <v>322.423846156678</v>
      </c>
      <c r="T56" s="410"/>
      <c r="U56" s="39"/>
      <c r="V56" s="39"/>
      <c r="W56" s="39"/>
      <c r="Y56" s="515">
        <f t="shared" si="19"/>
        <v>10171.09924784473</v>
      </c>
      <c r="Z56" s="515">
        <f t="shared" si="20"/>
        <v>12896.953846267117</v>
      </c>
    </row>
    <row r="57" spans="1:26" ht="25.5">
      <c r="A57" s="473"/>
      <c r="B57" s="24" t="s">
        <v>694</v>
      </c>
      <c r="C57" s="25" t="s">
        <v>907</v>
      </c>
      <c r="D57" s="26" t="s">
        <v>212</v>
      </c>
      <c r="E57" s="100">
        <v>66.798000000000002</v>
      </c>
      <c r="F57" s="370">
        <f>G57*1.5</f>
        <v>0.81787756614137908</v>
      </c>
      <c r="G57" s="370">
        <v>0.54525171076091938</v>
      </c>
      <c r="H57" s="370">
        <f t="shared" si="52"/>
        <v>1.3631292769022985</v>
      </c>
      <c r="I57" s="370">
        <f>H57*(1+'BDI - HABITAÇÃO'!$C$22)</f>
        <v>1.7284479231121144</v>
      </c>
      <c r="J57" s="370">
        <f t="shared" si="45"/>
        <v>54.63258566311184</v>
      </c>
      <c r="K57" s="370">
        <f t="shared" si="46"/>
        <v>36.421723775407891</v>
      </c>
      <c r="L57" s="371">
        <f t="shared" si="47"/>
        <v>91.054309438519738</v>
      </c>
      <c r="M57" s="371">
        <f t="shared" si="48"/>
        <v>115.45686436804301</v>
      </c>
      <c r="N57" s="397">
        <f t="shared" si="50"/>
        <v>3.2455014536787175E-2</v>
      </c>
      <c r="O57" s="475"/>
      <c r="P57" s="19">
        <v>3.2455014536787243</v>
      </c>
      <c r="Q57" s="19">
        <f t="shared" si="49"/>
        <v>3.2455014536787244E-2</v>
      </c>
      <c r="R57" s="416">
        <f t="shared" si="51"/>
        <v>115.45686436804331</v>
      </c>
      <c r="S57" s="19">
        <v>115.456864368043</v>
      </c>
      <c r="T57" s="410"/>
      <c r="U57" s="39"/>
      <c r="V57" s="39"/>
      <c r="W57" s="39"/>
      <c r="Y57" s="515">
        <f t="shared" si="19"/>
        <v>3642.1723775407895</v>
      </c>
      <c r="Z57" s="515">
        <f t="shared" si="20"/>
        <v>4618.2745747217205</v>
      </c>
    </row>
    <row r="58" spans="1:26" ht="15.75">
      <c r="A58" s="473"/>
      <c r="B58" s="24" t="s">
        <v>695</v>
      </c>
      <c r="C58" s="25" t="s">
        <v>908</v>
      </c>
      <c r="D58" s="26" t="s">
        <v>212</v>
      </c>
      <c r="E58" s="100">
        <v>66.798000000000002</v>
      </c>
      <c r="F58" s="370">
        <f t="shared" ref="F58" si="53">G58*1.5</f>
        <v>4.3583613665011249</v>
      </c>
      <c r="G58" s="370">
        <v>2.9055742443340833</v>
      </c>
      <c r="H58" s="370">
        <f t="shared" si="52"/>
        <v>7.2639356108352082</v>
      </c>
      <c r="I58" s="370">
        <f>H58*(1+'BDI - HABITAÇÃO'!$C$22)</f>
        <v>9.2106703545390438</v>
      </c>
      <c r="J58" s="370">
        <f t="shared" si="45"/>
        <v>291.12982255954216</v>
      </c>
      <c r="K58" s="370">
        <f t="shared" si="46"/>
        <v>194.08654837302811</v>
      </c>
      <c r="L58" s="371">
        <f t="shared" si="47"/>
        <v>485.21637093257027</v>
      </c>
      <c r="M58" s="371">
        <f t="shared" si="48"/>
        <v>615.25435834249902</v>
      </c>
      <c r="N58" s="397">
        <f t="shared" si="50"/>
        <v>0.17294847953063225</v>
      </c>
      <c r="O58" s="475"/>
      <c r="P58" s="413">
        <v>17.294847953063204</v>
      </c>
      <c r="Q58" s="19">
        <f t="shared" si="49"/>
        <v>0.17294847953063205</v>
      </c>
      <c r="R58" s="416">
        <f t="shared" si="51"/>
        <v>615.25435834249856</v>
      </c>
      <c r="S58" s="413">
        <v>615.25435834249902</v>
      </c>
      <c r="T58" s="410"/>
      <c r="U58" s="39"/>
      <c r="V58" s="39"/>
      <c r="W58" s="39"/>
      <c r="Y58" s="515">
        <f t="shared" si="19"/>
        <v>19408.654837302813</v>
      </c>
      <c r="Z58" s="515">
        <f t="shared" si="20"/>
        <v>24610.174333699961</v>
      </c>
    </row>
    <row r="59" spans="1:26" ht="15.75">
      <c r="A59" s="473"/>
      <c r="B59" s="24" t="s">
        <v>696</v>
      </c>
      <c r="C59" s="25" t="s">
        <v>909</v>
      </c>
      <c r="D59" s="26" t="s">
        <v>212</v>
      </c>
      <c r="E59" s="100">
        <v>12.34</v>
      </c>
      <c r="F59" s="370">
        <f>G59</f>
        <v>28.691602004862155</v>
      </c>
      <c r="G59" s="370">
        <v>28.691602004862155</v>
      </c>
      <c r="H59" s="370">
        <f t="shared" si="44"/>
        <v>57.383204009724309</v>
      </c>
      <c r="I59" s="370">
        <f>H59*(1+'BDI - HABITAÇÃO'!$C$22)</f>
        <v>72.761902684330423</v>
      </c>
      <c r="J59" s="370">
        <f t="shared" si="45"/>
        <v>354.05436873999901</v>
      </c>
      <c r="K59" s="370">
        <f t="shared" si="46"/>
        <v>354.05436873999901</v>
      </c>
      <c r="L59" s="371">
        <f t="shared" si="47"/>
        <v>708.10873747999801</v>
      </c>
      <c r="M59" s="371">
        <f t="shared" si="48"/>
        <v>897.88187912463741</v>
      </c>
      <c r="N59" s="397">
        <f t="shared" si="50"/>
        <v>0.25239529584326459</v>
      </c>
      <c r="O59" s="475"/>
      <c r="P59" s="413">
        <v>25.239529584326466</v>
      </c>
      <c r="Q59" s="19">
        <f t="shared" si="49"/>
        <v>0.25239529584326464</v>
      </c>
      <c r="R59" s="416">
        <f t="shared" si="51"/>
        <v>897.88187912463798</v>
      </c>
      <c r="S59" s="413">
        <v>897.88187912463798</v>
      </c>
      <c r="T59" s="410"/>
      <c r="U59" s="39"/>
      <c r="V59" s="39"/>
      <c r="W59" s="39"/>
      <c r="Y59" s="515">
        <f t="shared" si="19"/>
        <v>28324.349499199921</v>
      </c>
      <c r="Z59" s="515">
        <f t="shared" si="20"/>
        <v>35915.275164985498</v>
      </c>
    </row>
    <row r="60" spans="1:26" ht="15.75">
      <c r="A60" s="476"/>
      <c r="B60" s="56"/>
      <c r="C60" s="429" t="s">
        <v>220</v>
      </c>
      <c r="D60" s="56"/>
      <c r="E60" s="265"/>
      <c r="F60" s="373"/>
      <c r="G60" s="373"/>
      <c r="H60" s="373"/>
      <c r="I60" s="373"/>
      <c r="J60" s="373"/>
      <c r="K60" s="373"/>
      <c r="L60" s="372">
        <f>SUM(L53:L59)</f>
        <v>2805.5544185725539</v>
      </c>
      <c r="M60" s="372">
        <f>SUM(M53:M59)</f>
        <v>3557.4430027499984</v>
      </c>
      <c r="N60" s="398">
        <f>M60/$M$97</f>
        <v>7.2199999999999973E-2</v>
      </c>
      <c r="O60" s="477"/>
      <c r="P60" s="416">
        <f>M60*40</f>
        <v>142297.72010999994</v>
      </c>
      <c r="Q60" s="19"/>
      <c r="R60" s="416"/>
      <c r="S60" s="19" t="s">
        <v>390</v>
      </c>
      <c r="T60" s="411">
        <v>142297.72010999999</v>
      </c>
      <c r="U60" s="39" t="str">
        <f>IF(T60=P60,"BOA GAROTO","FAZ BATER")</f>
        <v>BOA GAROTO</v>
      </c>
      <c r="V60" s="39"/>
      <c r="W60" s="39"/>
      <c r="Y60" s="515">
        <f t="shared" si="19"/>
        <v>112222.17674290216</v>
      </c>
      <c r="Z60" s="515">
        <f t="shared" si="20"/>
        <v>142297.72010999994</v>
      </c>
    </row>
    <row r="61" spans="1:26">
      <c r="A61" s="471">
        <v>7</v>
      </c>
      <c r="B61" s="380"/>
      <c r="C61" s="381" t="s">
        <v>459</v>
      </c>
      <c r="D61" s="382"/>
      <c r="E61" s="383"/>
      <c r="F61" s="383"/>
      <c r="G61" s="383"/>
      <c r="H61" s="383"/>
      <c r="I61" s="383"/>
      <c r="J61" s="383"/>
      <c r="K61" s="383"/>
      <c r="L61" s="384"/>
      <c r="M61" s="384"/>
      <c r="N61" s="395"/>
      <c r="O61" s="478"/>
      <c r="T61" s="410"/>
      <c r="U61" s="39"/>
      <c r="V61" s="39"/>
      <c r="W61" s="39"/>
      <c r="Y61" s="515">
        <f t="shared" si="19"/>
        <v>0</v>
      </c>
      <c r="Z61" s="515">
        <f t="shared" si="20"/>
        <v>0</v>
      </c>
    </row>
    <row r="62" spans="1:26" ht="25.5">
      <c r="A62" s="473"/>
      <c r="B62" s="24" t="s">
        <v>29</v>
      </c>
      <c r="C62" s="25" t="s">
        <v>910</v>
      </c>
      <c r="D62" s="26" t="s">
        <v>212</v>
      </c>
      <c r="E62" s="100">
        <v>29.092199999999998</v>
      </c>
      <c r="F62" s="370">
        <f>G62*2</f>
        <v>29.901207624086915</v>
      </c>
      <c r="G62" s="370">
        <v>14.950603812043457</v>
      </c>
      <c r="H62" s="370">
        <f t="shared" ref="H62:H69" si="54">F62+G62</f>
        <v>44.851811436130376</v>
      </c>
      <c r="I62" s="370">
        <f>H62*(1+'BDI - HABITAÇÃO'!$C$22)</f>
        <v>56.872096901013315</v>
      </c>
      <c r="J62" s="370">
        <f t="shared" ref="J62:J69" si="55">E62*F62</f>
        <v>869.89191244146127</v>
      </c>
      <c r="K62" s="370">
        <f t="shared" ref="K62:K69" si="56">E62*G62</f>
        <v>434.94595622073064</v>
      </c>
      <c r="L62" s="371">
        <f t="shared" ref="L62:L69" si="57">H62*E62</f>
        <v>1304.837868662192</v>
      </c>
      <c r="M62" s="371">
        <f t="shared" ref="M62:M69" si="58">I62*E62</f>
        <v>1654.5344174636596</v>
      </c>
      <c r="N62" s="397">
        <f t="shared" ref="N62:N69" si="59">M62/$M$70</f>
        <v>0.25516386008343095</v>
      </c>
      <c r="O62" s="474">
        <f>M70/M98</f>
        <v>1.8170670000000008E-3</v>
      </c>
      <c r="P62" s="413">
        <v>25.516386008343101</v>
      </c>
      <c r="Q62" s="19">
        <f t="shared" ref="Q62:Q69" si="60">P62/100</f>
        <v>0.255163860083431</v>
      </c>
      <c r="R62" s="416">
        <f t="shared" ref="R62:R69" si="61">Q62*$T$70/40</f>
        <v>1654.5344174636589</v>
      </c>
      <c r="S62" s="413">
        <v>1654.53441746366</v>
      </c>
      <c r="T62" s="410"/>
      <c r="U62" s="39"/>
      <c r="V62" s="39"/>
      <c r="W62" s="39"/>
      <c r="Y62" s="515">
        <f t="shared" si="19"/>
        <v>52193.514746487679</v>
      </c>
      <c r="Z62" s="515">
        <f t="shared" si="20"/>
        <v>66181.376698546388</v>
      </c>
    </row>
    <row r="63" spans="1:26" ht="15.75">
      <c r="A63" s="473"/>
      <c r="B63" s="24" t="s">
        <v>33</v>
      </c>
      <c r="C63" s="25" t="s">
        <v>911</v>
      </c>
      <c r="D63" s="26" t="s">
        <v>212</v>
      </c>
      <c r="E63" s="100">
        <v>31.386199999999999</v>
      </c>
      <c r="F63" s="370">
        <f>G63*2</f>
        <v>36.160472329199202</v>
      </c>
      <c r="G63" s="370">
        <v>18.080236164599601</v>
      </c>
      <c r="H63" s="370">
        <f t="shared" ref="H63:H66" si="62">F63+G63</f>
        <v>54.240708493798806</v>
      </c>
      <c r="I63" s="370">
        <f>H63*(1+'BDI - HABITAÇÃO'!$C$22)</f>
        <v>68.777218370136893</v>
      </c>
      <c r="J63" s="370">
        <f t="shared" si="55"/>
        <v>1134.939816618712</v>
      </c>
      <c r="K63" s="370">
        <f t="shared" si="56"/>
        <v>567.46990830935601</v>
      </c>
      <c r="L63" s="371">
        <f t="shared" si="57"/>
        <v>1702.409724928068</v>
      </c>
      <c r="M63" s="371">
        <f t="shared" si="58"/>
        <v>2158.6555312087903</v>
      </c>
      <c r="N63" s="397">
        <f t="shared" si="59"/>
        <v>0.33290989423964779</v>
      </c>
      <c r="O63" s="475"/>
      <c r="P63" s="413">
        <f>100-SUM(P62,P64:P69)</f>
        <v>33.290989423964731</v>
      </c>
      <c r="Q63" s="19">
        <f t="shared" si="60"/>
        <v>0.33290989423964734</v>
      </c>
      <c r="R63" s="416">
        <f t="shared" si="61"/>
        <v>2158.6555312087867</v>
      </c>
      <c r="S63" s="413">
        <v>2158.6555312087899</v>
      </c>
      <c r="T63" s="410"/>
      <c r="U63" s="39"/>
      <c r="V63" s="39"/>
      <c r="W63" s="39"/>
      <c r="Y63" s="515">
        <f t="shared" si="19"/>
        <v>68096.388997122718</v>
      </c>
      <c r="Z63" s="515">
        <f t="shared" si="20"/>
        <v>86346.22124835162</v>
      </c>
    </row>
    <row r="64" spans="1:26" ht="15.75">
      <c r="A64" s="473"/>
      <c r="B64" s="24" t="s">
        <v>35</v>
      </c>
      <c r="C64" s="25" t="s">
        <v>912</v>
      </c>
      <c r="D64" s="26" t="s">
        <v>212</v>
      </c>
      <c r="E64" s="100">
        <v>31.386199999999999</v>
      </c>
      <c r="F64" s="370">
        <f>G64*1.5</f>
        <v>12.545530097222581</v>
      </c>
      <c r="G64" s="370">
        <v>8.3636867314817209</v>
      </c>
      <c r="H64" s="370">
        <f t="shared" si="62"/>
        <v>20.909216828704302</v>
      </c>
      <c r="I64" s="370">
        <f>H64*(1+'BDI - HABITAÇÃO'!$C$22)</f>
        <v>26.512886938797056</v>
      </c>
      <c r="J64" s="370">
        <f t="shared" si="55"/>
        <v>393.75651673744738</v>
      </c>
      <c r="K64" s="370">
        <f t="shared" si="56"/>
        <v>262.50434449163157</v>
      </c>
      <c r="L64" s="371">
        <f t="shared" si="57"/>
        <v>656.26086122907896</v>
      </c>
      <c r="M64" s="371">
        <f t="shared" si="58"/>
        <v>832.1387720384721</v>
      </c>
      <c r="N64" s="397">
        <f t="shared" si="59"/>
        <v>0.12833322713462769</v>
      </c>
      <c r="O64" s="475"/>
      <c r="P64" s="413">
        <v>12.833322713462787</v>
      </c>
      <c r="Q64" s="19">
        <f t="shared" si="60"/>
        <v>0.12833322713462786</v>
      </c>
      <c r="R64" s="416">
        <f t="shared" si="61"/>
        <v>832.13877203847278</v>
      </c>
      <c r="S64" s="413">
        <v>832.13877203847301</v>
      </c>
      <c r="T64" s="410"/>
      <c r="U64" s="39"/>
      <c r="V64" s="39"/>
      <c r="W64" s="39"/>
      <c r="Y64" s="515">
        <f t="shared" si="19"/>
        <v>26250.434449163156</v>
      </c>
      <c r="Z64" s="515">
        <f t="shared" si="20"/>
        <v>33285.550881538882</v>
      </c>
    </row>
    <row r="65" spans="1:26" ht="15.75">
      <c r="A65" s="473"/>
      <c r="B65" s="24" t="s">
        <v>88</v>
      </c>
      <c r="C65" s="25" t="s">
        <v>913</v>
      </c>
      <c r="D65" s="26" t="s">
        <v>218</v>
      </c>
      <c r="E65" s="100">
        <v>18.600000000000001</v>
      </c>
      <c r="F65" s="370">
        <f>G65*1.5</f>
        <v>4.7856840298166592</v>
      </c>
      <c r="G65" s="370">
        <v>3.1904560198777725</v>
      </c>
      <c r="H65" s="370">
        <f t="shared" si="62"/>
        <v>7.9761400496944317</v>
      </c>
      <c r="I65" s="370">
        <f>H65*(1+'BDI - HABITAÇÃO'!$C$22)</f>
        <v>10.113745583012539</v>
      </c>
      <c r="J65" s="370">
        <f t="shared" si="55"/>
        <v>89.013722954589866</v>
      </c>
      <c r="K65" s="370">
        <f t="shared" si="56"/>
        <v>59.34248196972657</v>
      </c>
      <c r="L65" s="371">
        <f t="shared" si="57"/>
        <v>148.35620492431644</v>
      </c>
      <c r="M65" s="371">
        <f t="shared" si="58"/>
        <v>188.11566784403325</v>
      </c>
      <c r="N65" s="397">
        <f t="shared" si="59"/>
        <v>2.9011375914946999E-2</v>
      </c>
      <c r="O65" s="475"/>
      <c r="P65" s="413">
        <v>2.9011375914947002</v>
      </c>
      <c r="Q65" s="19">
        <f t="shared" si="60"/>
        <v>2.9011375914947003E-2</v>
      </c>
      <c r="R65" s="416">
        <f t="shared" si="61"/>
        <v>188.11566784403323</v>
      </c>
      <c r="S65" s="413">
        <v>188.115667844033</v>
      </c>
      <c r="T65" s="410"/>
      <c r="U65" s="39"/>
      <c r="V65" s="39"/>
      <c r="W65" s="39"/>
      <c r="Y65" s="515">
        <f t="shared" si="19"/>
        <v>5934.2481969726578</v>
      </c>
      <c r="Z65" s="515">
        <f t="shared" si="20"/>
        <v>7524.6267137613304</v>
      </c>
    </row>
    <row r="66" spans="1:26" ht="15.75">
      <c r="A66" s="473"/>
      <c r="B66" s="24" t="s">
        <v>509</v>
      </c>
      <c r="C66" s="25" t="s">
        <v>914</v>
      </c>
      <c r="D66" s="26" t="s">
        <v>218</v>
      </c>
      <c r="E66" s="100">
        <v>3.8</v>
      </c>
      <c r="F66" s="370">
        <f>G66*1.75</f>
        <v>16.509402608060455</v>
      </c>
      <c r="G66" s="370">
        <v>9.4339443474631182</v>
      </c>
      <c r="H66" s="370">
        <f t="shared" si="62"/>
        <v>25.943346955523573</v>
      </c>
      <c r="I66" s="370">
        <f>H66*(1+'BDI - HABITAÇÃO'!$C$22)</f>
        <v>32.896163939603895</v>
      </c>
      <c r="J66" s="370">
        <f t="shared" si="55"/>
        <v>62.735729910629729</v>
      </c>
      <c r="K66" s="370">
        <f t="shared" si="56"/>
        <v>35.848988520359846</v>
      </c>
      <c r="L66" s="371">
        <f t="shared" si="57"/>
        <v>98.584718430989568</v>
      </c>
      <c r="M66" s="371">
        <f t="shared" si="58"/>
        <v>125.00542297049479</v>
      </c>
      <c r="N66" s="397">
        <f t="shared" si="59"/>
        <v>1.9278454361445176E-2</v>
      </c>
      <c r="O66" s="475"/>
      <c r="P66" s="413">
        <v>1.9278454361445256</v>
      </c>
      <c r="Q66" s="19">
        <f t="shared" si="60"/>
        <v>1.9278454361445256E-2</v>
      </c>
      <c r="R66" s="416">
        <f t="shared" si="61"/>
        <v>125.00542297049526</v>
      </c>
      <c r="S66" s="413">
        <v>125.005422970495</v>
      </c>
      <c r="T66" s="410"/>
      <c r="U66" s="39"/>
      <c r="V66" s="39"/>
      <c r="W66" s="39"/>
      <c r="Y66" s="515">
        <f t="shared" si="19"/>
        <v>3943.388737239583</v>
      </c>
      <c r="Z66" s="515">
        <f t="shared" si="20"/>
        <v>5000.2169188197913</v>
      </c>
    </row>
    <row r="67" spans="1:26" ht="15.75">
      <c r="A67" s="473"/>
      <c r="B67" s="24" t="s">
        <v>510</v>
      </c>
      <c r="C67" s="25" t="s">
        <v>915</v>
      </c>
      <c r="D67" s="26" t="s">
        <v>218</v>
      </c>
      <c r="E67" s="100">
        <v>4.5</v>
      </c>
      <c r="F67" s="370">
        <f>G67*1.75</f>
        <v>44.165993073042223</v>
      </c>
      <c r="G67" s="370">
        <v>25.237710327452699</v>
      </c>
      <c r="H67" s="370">
        <f t="shared" si="54"/>
        <v>69.403703400494919</v>
      </c>
      <c r="I67" s="370">
        <f>H67*(1+'BDI - HABITAÇÃO'!$C$22)</f>
        <v>88.003895911827556</v>
      </c>
      <c r="J67" s="370">
        <f t="shared" si="55"/>
        <v>198.74696882869</v>
      </c>
      <c r="K67" s="370">
        <f t="shared" si="56"/>
        <v>113.56969647353715</v>
      </c>
      <c r="L67" s="371">
        <f t="shared" si="57"/>
        <v>312.31666530222714</v>
      </c>
      <c r="M67" s="371">
        <f t="shared" si="58"/>
        <v>396.01753160322403</v>
      </c>
      <c r="N67" s="397">
        <f t="shared" si="59"/>
        <v>6.107419764618479E-2</v>
      </c>
      <c r="O67" s="475"/>
      <c r="P67" s="413">
        <v>6.1074197646184771</v>
      </c>
      <c r="Q67" s="19">
        <f t="shared" si="60"/>
        <v>6.1074197646184769E-2</v>
      </c>
      <c r="R67" s="416">
        <f t="shared" si="61"/>
        <v>396.01753160322374</v>
      </c>
      <c r="S67" s="413">
        <v>396.01753160322397</v>
      </c>
      <c r="T67" s="410"/>
      <c r="U67" s="39"/>
      <c r="V67" s="39"/>
      <c r="W67" s="39"/>
      <c r="Y67" s="515">
        <f t="shared" si="19"/>
        <v>12492.666612089086</v>
      </c>
      <c r="Z67" s="515">
        <f t="shared" si="20"/>
        <v>15840.701264128962</v>
      </c>
    </row>
    <row r="68" spans="1:26" ht="15.75">
      <c r="A68" s="473"/>
      <c r="B68" s="24" t="s">
        <v>511</v>
      </c>
      <c r="C68" s="25" t="s">
        <v>916</v>
      </c>
      <c r="D68" s="26" t="s">
        <v>212</v>
      </c>
      <c r="E68" s="100">
        <v>33.241</v>
      </c>
      <c r="F68" s="370">
        <f>G68*1.5</f>
        <v>13.496820866068441</v>
      </c>
      <c r="G68" s="370">
        <v>8.997880577378961</v>
      </c>
      <c r="H68" s="370">
        <f t="shared" si="54"/>
        <v>22.494701443447404</v>
      </c>
      <c r="I68" s="370">
        <f>H68*(1+'BDI - HABITAÇÃO'!$C$22)</f>
        <v>28.523281430291309</v>
      </c>
      <c r="J68" s="370">
        <f t="shared" si="55"/>
        <v>448.64782240898109</v>
      </c>
      <c r="K68" s="370">
        <f t="shared" si="56"/>
        <v>299.09854827265406</v>
      </c>
      <c r="L68" s="371">
        <f t="shared" si="57"/>
        <v>747.7463706816352</v>
      </c>
      <c r="M68" s="371">
        <f t="shared" si="58"/>
        <v>948.14239802431337</v>
      </c>
      <c r="N68" s="397">
        <f t="shared" si="59"/>
        <v>0.14622341586554422</v>
      </c>
      <c r="O68" s="475"/>
      <c r="P68" s="413">
        <v>14.622341586554427</v>
      </c>
      <c r="Q68" s="19">
        <f t="shared" si="60"/>
        <v>0.14622341586554427</v>
      </c>
      <c r="R68" s="416">
        <f t="shared" si="61"/>
        <v>948.14239802431348</v>
      </c>
      <c r="S68" s="413">
        <v>948.14239802431302</v>
      </c>
      <c r="T68" s="410"/>
      <c r="U68" s="39"/>
      <c r="V68" s="39"/>
      <c r="W68" s="39"/>
      <c r="Y68" s="515">
        <f t="shared" si="19"/>
        <v>29909.854827265408</v>
      </c>
      <c r="Z68" s="515">
        <f t="shared" si="20"/>
        <v>37925.695920972532</v>
      </c>
    </row>
    <row r="69" spans="1:26" ht="15.75">
      <c r="A69" s="473"/>
      <c r="B69" s="24" t="s">
        <v>512</v>
      </c>
      <c r="C69" s="25" t="s">
        <v>917</v>
      </c>
      <c r="D69" s="26" t="s">
        <v>212</v>
      </c>
      <c r="E69" s="100">
        <v>7.2540000000000004</v>
      </c>
      <c r="F69" s="370">
        <f>G69*1.5</f>
        <v>11.845559483357992</v>
      </c>
      <c r="G69" s="370">
        <v>7.8970396555719944</v>
      </c>
      <c r="H69" s="370">
        <f t="shared" si="54"/>
        <v>19.742599138929986</v>
      </c>
      <c r="I69" s="370">
        <f>H69*(1+'BDI - HABITAÇÃO'!$C$22)</f>
        <v>25.033615708163222</v>
      </c>
      <c r="J69" s="370">
        <f t="shared" si="55"/>
        <v>85.927688492278875</v>
      </c>
      <c r="K69" s="370">
        <f t="shared" si="56"/>
        <v>57.285125661519253</v>
      </c>
      <c r="L69" s="371">
        <f t="shared" si="57"/>
        <v>143.21281415379812</v>
      </c>
      <c r="M69" s="371">
        <f t="shared" si="58"/>
        <v>181.59384834701601</v>
      </c>
      <c r="N69" s="397">
        <f t="shared" si="59"/>
        <v>2.8005574754172504E-2</v>
      </c>
      <c r="O69" s="475"/>
      <c r="P69" s="413">
        <v>2.80055747541725</v>
      </c>
      <c r="Q69" s="19">
        <f t="shared" si="60"/>
        <v>2.8005574754172501E-2</v>
      </c>
      <c r="R69" s="416">
        <f t="shared" si="61"/>
        <v>181.59384834701592</v>
      </c>
      <c r="S69" s="413">
        <v>181.59384834701601</v>
      </c>
      <c r="T69" s="410"/>
      <c r="U69" s="39"/>
      <c r="V69" s="39"/>
      <c r="W69" s="39"/>
      <c r="Y69" s="515">
        <f t="shared" si="19"/>
        <v>5728.5125661519251</v>
      </c>
      <c r="Z69" s="515">
        <f t="shared" si="20"/>
        <v>7263.75393388064</v>
      </c>
    </row>
    <row r="70" spans="1:26" ht="15.75">
      <c r="A70" s="476"/>
      <c r="B70" s="56"/>
      <c r="C70" s="429" t="s">
        <v>220</v>
      </c>
      <c r="D70" s="56"/>
      <c r="E70" s="265"/>
      <c r="F70" s="373"/>
      <c r="G70" s="373"/>
      <c r="H70" s="373"/>
      <c r="I70" s="373"/>
      <c r="J70" s="373"/>
      <c r="K70" s="373"/>
      <c r="L70" s="372">
        <f>SUM(L62:L69)</f>
        <v>5113.7252283123053</v>
      </c>
      <c r="M70" s="372">
        <f>SUM(M62:M69)</f>
        <v>6484.2035895000026</v>
      </c>
      <c r="N70" s="398">
        <f>M70/$M$97</f>
        <v>0.13160000000000005</v>
      </c>
      <c r="O70" s="477"/>
      <c r="P70" s="416">
        <f>M70*40</f>
        <v>259368.14358000009</v>
      </c>
      <c r="Q70" s="19"/>
      <c r="R70" s="19"/>
      <c r="S70" s="33" t="s">
        <v>459</v>
      </c>
      <c r="T70" s="410">
        <v>259368.14358</v>
      </c>
      <c r="U70" s="39" t="str">
        <f>IF(T70=P70,"BOA GAROTO","FAZ BATER")</f>
        <v>BOA GAROTO</v>
      </c>
      <c r="V70" s="39"/>
      <c r="W70" s="39"/>
      <c r="Y70" s="515">
        <f t="shared" si="19"/>
        <v>204549.00913249221</v>
      </c>
      <c r="Z70" s="515">
        <f t="shared" si="20"/>
        <v>259368.14358000009</v>
      </c>
    </row>
    <row r="71" spans="1:26">
      <c r="A71" s="471">
        <v>8</v>
      </c>
      <c r="B71" s="380"/>
      <c r="C71" s="381" t="s">
        <v>393</v>
      </c>
      <c r="D71" s="382"/>
      <c r="E71" s="383"/>
      <c r="F71" s="383"/>
      <c r="G71" s="383"/>
      <c r="H71" s="383"/>
      <c r="I71" s="383"/>
      <c r="J71" s="383"/>
      <c r="K71" s="383"/>
      <c r="L71" s="384"/>
      <c r="M71" s="384"/>
      <c r="N71" s="395"/>
      <c r="O71" s="478"/>
      <c r="T71" s="410"/>
      <c r="U71" s="39"/>
      <c r="V71" s="39"/>
      <c r="W71" s="39"/>
      <c r="Y71" s="515">
        <f t="shared" si="19"/>
        <v>0</v>
      </c>
      <c r="Z71" s="515">
        <f t="shared" si="20"/>
        <v>0</v>
      </c>
    </row>
    <row r="72" spans="1:26" ht="15.75">
      <c r="A72" s="473"/>
      <c r="B72" s="24" t="s">
        <v>37</v>
      </c>
      <c r="C72" s="25" t="s">
        <v>880</v>
      </c>
      <c r="D72" s="26" t="s">
        <v>218</v>
      </c>
      <c r="E72" s="100">
        <f>E42*4.5</f>
        <v>193.28399999999999</v>
      </c>
      <c r="F72" s="370">
        <f>G72*2.5</f>
        <v>3.1879428959066902</v>
      </c>
      <c r="G72" s="370">
        <v>1.2751771583626761</v>
      </c>
      <c r="H72" s="370">
        <f t="shared" ref="H72:H76" si="63">F72+G72</f>
        <v>4.4631200542693659</v>
      </c>
      <c r="I72" s="370">
        <f>H72*(1+'BDI - HABITAÇÃO'!$C$22)</f>
        <v>5.6592362288135556</v>
      </c>
      <c r="J72" s="370">
        <f>E72*F72</f>
        <v>616.17835469242868</v>
      </c>
      <c r="K72" s="370">
        <f>E72*G72</f>
        <v>246.47134187697148</v>
      </c>
      <c r="L72" s="371">
        <f>H72*E72</f>
        <v>862.64969656940002</v>
      </c>
      <c r="M72" s="371">
        <f>I72*E72</f>
        <v>1093.8398152499992</v>
      </c>
      <c r="N72" s="397">
        <f>M72/$M$77</f>
        <v>0.49999999999999978</v>
      </c>
      <c r="O72" s="474">
        <f>M77/M98</f>
        <v>6.130529999999998E-4</v>
      </c>
      <c r="P72" s="413">
        <v>50</v>
      </c>
      <c r="Q72" s="19">
        <f t="shared" ref="Q72" si="64">P72/100</f>
        <v>0.5</v>
      </c>
      <c r="R72" s="416">
        <f>Q72*$T$77/40</f>
        <v>1093.8398152499999</v>
      </c>
      <c r="S72" s="413">
        <v>1093.8398152499999</v>
      </c>
      <c r="T72" s="410"/>
      <c r="U72" s="39"/>
      <c r="V72" s="39"/>
      <c r="W72" s="39"/>
      <c r="Y72" s="515">
        <f t="shared" si="19"/>
        <v>34505.987862776004</v>
      </c>
      <c r="Z72" s="515">
        <f t="shared" si="20"/>
        <v>43753.592609999971</v>
      </c>
    </row>
    <row r="73" spans="1:26" ht="15.75">
      <c r="A73" s="473"/>
      <c r="B73" s="24" t="s">
        <v>38</v>
      </c>
      <c r="C73" s="25" t="s">
        <v>881</v>
      </c>
      <c r="D73" s="26" t="s">
        <v>693</v>
      </c>
      <c r="E73" s="100">
        <v>1</v>
      </c>
      <c r="F73" s="370">
        <f>G73*2</f>
        <v>287.54989885646683</v>
      </c>
      <c r="G73" s="370">
        <v>143.77494942823341</v>
      </c>
      <c r="H73" s="370">
        <f t="shared" si="63"/>
        <v>431.32484828470024</v>
      </c>
      <c r="I73" s="370">
        <f>H73*(1+'BDI - HABITAÇÃO'!$C$22)</f>
        <v>546.91990762499995</v>
      </c>
      <c r="J73" s="370">
        <f>E73*F73</f>
        <v>287.54989885646683</v>
      </c>
      <c r="K73" s="370">
        <f>E73*G73</f>
        <v>143.77494942823341</v>
      </c>
      <c r="L73" s="371">
        <f>H73*E73</f>
        <v>431.32484828470024</v>
      </c>
      <c r="M73" s="371">
        <f>I73*E73</f>
        <v>546.91990762499995</v>
      </c>
      <c r="N73" s="397">
        <f t="shared" ref="N73:N76" si="65">M73/$M$77</f>
        <v>0.25000000000000006</v>
      </c>
      <c r="O73" s="475"/>
      <c r="P73" s="413">
        <v>25</v>
      </c>
      <c r="Q73" s="19">
        <f t="shared" ref="Q73:Q76" si="66">P73/100</f>
        <v>0.25</v>
      </c>
      <c r="R73" s="416">
        <f t="shared" ref="R73:R76" si="67">Q73*$T$77/40</f>
        <v>546.91990762499995</v>
      </c>
      <c r="S73" s="413">
        <v>546.91990762499995</v>
      </c>
      <c r="T73" s="410"/>
      <c r="U73" s="39"/>
      <c r="V73" s="39"/>
      <c r="W73" s="39"/>
      <c r="Y73" s="515">
        <f t="shared" si="19"/>
        <v>17252.99393138801</v>
      </c>
      <c r="Z73" s="515">
        <f t="shared" si="20"/>
        <v>21876.796304999996</v>
      </c>
    </row>
    <row r="74" spans="1:26" ht="15.75">
      <c r="A74" s="473"/>
      <c r="B74" s="24" t="s">
        <v>39</v>
      </c>
      <c r="C74" s="25" t="s">
        <v>879</v>
      </c>
      <c r="D74" s="26" t="s">
        <v>693</v>
      </c>
      <c r="E74" s="100">
        <v>33</v>
      </c>
      <c r="F74" s="370">
        <f>G74*1.5</f>
        <v>3.1369079875250963</v>
      </c>
      <c r="G74" s="370">
        <v>2.0912719916833975</v>
      </c>
      <c r="H74" s="370">
        <f t="shared" si="63"/>
        <v>5.2281799792084938</v>
      </c>
      <c r="I74" s="370">
        <f>H74*(1+'BDI - HABITAÇÃO'!$C$22)</f>
        <v>6.6293322136363706</v>
      </c>
      <c r="J74" s="370">
        <f>E74*F74</f>
        <v>103.51796358832817</v>
      </c>
      <c r="K74" s="370">
        <f>E74*G74</f>
        <v>69.011975725552119</v>
      </c>
      <c r="L74" s="371">
        <f>H74*E74</f>
        <v>172.52993931388031</v>
      </c>
      <c r="M74" s="371">
        <f>I74*E74</f>
        <v>218.76796305000022</v>
      </c>
      <c r="N74" s="397">
        <f t="shared" si="65"/>
        <v>0.10000000000000013</v>
      </c>
      <c r="O74" s="475"/>
      <c r="P74" s="413">
        <v>10</v>
      </c>
      <c r="Q74" s="19">
        <f t="shared" si="66"/>
        <v>0.1</v>
      </c>
      <c r="R74" s="416">
        <f t="shared" si="67"/>
        <v>218.76796305000002</v>
      </c>
      <c r="S74" s="413">
        <v>218.76796304999999</v>
      </c>
      <c r="T74" s="410"/>
      <c r="U74" s="39"/>
      <c r="V74" s="39"/>
      <c r="W74" s="39"/>
      <c r="Y74" s="515">
        <f t="shared" si="19"/>
        <v>6901.197572555212</v>
      </c>
      <c r="Z74" s="515">
        <f t="shared" si="20"/>
        <v>8750.7185220000083</v>
      </c>
    </row>
    <row r="75" spans="1:26" ht="15.75">
      <c r="A75" s="473"/>
      <c r="B75" s="24" t="s">
        <v>403</v>
      </c>
      <c r="C75" s="25" t="s">
        <v>697</v>
      </c>
      <c r="D75" s="26" t="s">
        <v>693</v>
      </c>
      <c r="E75" s="100">
        <v>3</v>
      </c>
      <c r="F75" s="370">
        <f t="shared" ref="F75:F76" si="68">G75*1.5</f>
        <v>34.505987862776031</v>
      </c>
      <c r="G75" s="370">
        <v>23.003991908517353</v>
      </c>
      <c r="H75" s="370">
        <f t="shared" ref="H75" si="69">F75+G75</f>
        <v>57.509979771293388</v>
      </c>
      <c r="I75" s="370">
        <f>H75*(1+'BDI - HABITAÇÃO'!$C$22)</f>
        <v>72.922654350000016</v>
      </c>
      <c r="J75" s="370">
        <f>E75*F75</f>
        <v>103.51796358832809</v>
      </c>
      <c r="K75" s="370">
        <f>E75*G75</f>
        <v>69.011975725552062</v>
      </c>
      <c r="L75" s="371">
        <f>H75*E75</f>
        <v>172.52993931388016</v>
      </c>
      <c r="M75" s="371">
        <f>I75*E75</f>
        <v>218.76796305000005</v>
      </c>
      <c r="N75" s="397">
        <f t="shared" si="65"/>
        <v>0.10000000000000005</v>
      </c>
      <c r="O75" s="475"/>
      <c r="P75" s="413">
        <v>10</v>
      </c>
      <c r="Q75" s="19">
        <f t="shared" si="66"/>
        <v>0.1</v>
      </c>
      <c r="R75" s="416">
        <f t="shared" si="67"/>
        <v>218.76796305000002</v>
      </c>
      <c r="S75" s="413">
        <v>218.76796304999999</v>
      </c>
      <c r="T75" s="410"/>
      <c r="U75" s="39"/>
      <c r="V75" s="39"/>
      <c r="W75" s="39"/>
      <c r="Y75" s="515">
        <f t="shared" si="19"/>
        <v>6901.1975725552065</v>
      </c>
      <c r="Z75" s="515">
        <f t="shared" si="20"/>
        <v>8750.7185220000028</v>
      </c>
    </row>
    <row r="76" spans="1:26" ht="15.75">
      <c r="A76" s="473"/>
      <c r="B76" s="24" t="s">
        <v>405</v>
      </c>
      <c r="C76" s="25" t="s">
        <v>882</v>
      </c>
      <c r="D76" s="26" t="s">
        <v>693</v>
      </c>
      <c r="E76" s="100">
        <v>1</v>
      </c>
      <c r="F76" s="370">
        <f t="shared" si="68"/>
        <v>51.758981794164015</v>
      </c>
      <c r="G76" s="370">
        <v>34.50598786277601</v>
      </c>
      <c r="H76" s="370">
        <f t="shared" si="63"/>
        <v>86.264969656940025</v>
      </c>
      <c r="I76" s="370">
        <f>H76*(1+'BDI - HABITAÇÃO'!$C$22)</f>
        <v>109.38398152499995</v>
      </c>
      <c r="J76" s="370">
        <f>E76*F76</f>
        <v>51.758981794164015</v>
      </c>
      <c r="K76" s="370">
        <f>E76*G76</f>
        <v>34.50598786277601</v>
      </c>
      <c r="L76" s="371">
        <f>H76*E76</f>
        <v>86.264969656940025</v>
      </c>
      <c r="M76" s="371">
        <f>I76*E76</f>
        <v>109.38398152499995</v>
      </c>
      <c r="N76" s="397">
        <f t="shared" si="65"/>
        <v>4.9999999999999996E-2</v>
      </c>
      <c r="O76" s="475"/>
      <c r="P76" s="413">
        <v>5</v>
      </c>
      <c r="Q76" s="19">
        <f t="shared" si="66"/>
        <v>0.05</v>
      </c>
      <c r="R76" s="416">
        <f t="shared" si="67"/>
        <v>109.38398152500001</v>
      </c>
      <c r="S76" s="413">
        <v>109.383981525</v>
      </c>
      <c r="U76" s="39"/>
      <c r="V76" s="39"/>
      <c r="W76" s="39"/>
      <c r="Y76" s="515">
        <f t="shared" si="19"/>
        <v>3450.598786277601</v>
      </c>
      <c r="Z76" s="515">
        <f t="shared" si="20"/>
        <v>4375.3592609999978</v>
      </c>
    </row>
    <row r="77" spans="1:26" ht="15.75">
      <c r="A77" s="476"/>
      <c r="B77" s="56"/>
      <c r="C77" s="429" t="s">
        <v>220</v>
      </c>
      <c r="D77" s="56"/>
      <c r="E77" s="265"/>
      <c r="F77" s="373"/>
      <c r="G77" s="373"/>
      <c r="H77" s="373"/>
      <c r="I77" s="373"/>
      <c r="J77" s="373"/>
      <c r="K77" s="373"/>
      <c r="L77" s="372">
        <f>SUM(L72:L76)</f>
        <v>1725.299393138801</v>
      </c>
      <c r="M77" s="372">
        <f>SUM(M72:M76)</f>
        <v>2187.6796304999993</v>
      </c>
      <c r="N77" s="398">
        <f>M77/$M$97</f>
        <v>4.4399999999999988E-2</v>
      </c>
      <c r="O77" s="477"/>
      <c r="P77" s="416">
        <f>M77*40</f>
        <v>87507.18521999997</v>
      </c>
      <c r="Q77" s="19"/>
      <c r="R77" s="19"/>
      <c r="S77" s="19" t="s">
        <v>393</v>
      </c>
      <c r="T77" s="410">
        <v>87507.185219999999</v>
      </c>
      <c r="U77" s="39" t="str">
        <f>IF(T77=P77,"BOA GAROTO","FAZ BATER")</f>
        <v>BOA GAROTO</v>
      </c>
      <c r="V77" s="39"/>
      <c r="W77" s="39"/>
      <c r="Y77" s="515">
        <f t="shared" si="19"/>
        <v>69011.975725552038</v>
      </c>
      <c r="Z77" s="515">
        <f t="shared" si="20"/>
        <v>87507.18521999997</v>
      </c>
    </row>
    <row r="78" spans="1:26">
      <c r="A78" s="471">
        <v>9</v>
      </c>
      <c r="B78" s="380"/>
      <c r="C78" s="381" t="s">
        <v>399</v>
      </c>
      <c r="D78" s="382"/>
      <c r="E78" s="383"/>
      <c r="F78" s="383"/>
      <c r="G78" s="383"/>
      <c r="H78" s="383"/>
      <c r="I78" s="383"/>
      <c r="J78" s="383"/>
      <c r="K78" s="383"/>
      <c r="L78" s="384"/>
      <c r="M78" s="384"/>
      <c r="N78" s="395"/>
      <c r="O78" s="478"/>
      <c r="T78" s="410"/>
      <c r="U78" s="39"/>
      <c r="V78" s="39"/>
      <c r="W78" s="39"/>
      <c r="Y78" s="515">
        <f t="shared" si="19"/>
        <v>0</v>
      </c>
      <c r="Z78" s="515">
        <f t="shared" si="20"/>
        <v>0</v>
      </c>
    </row>
    <row r="79" spans="1:26" ht="15.75">
      <c r="A79" s="473"/>
      <c r="B79" s="24" t="s">
        <v>683</v>
      </c>
      <c r="C79" s="25" t="s">
        <v>927</v>
      </c>
      <c r="D79" s="26" t="s">
        <v>693</v>
      </c>
      <c r="E79" s="100">
        <v>1</v>
      </c>
      <c r="F79" s="370">
        <f>'COMPOSIÇÕES DE PREÇO UNITÁRIO'!G10</f>
        <v>160.22</v>
      </c>
      <c r="G79" s="370">
        <f>'COMPOSIÇÕES DE PREÇO UNITÁRIO'!H10</f>
        <v>186.38400000000001</v>
      </c>
      <c r="H79" s="370">
        <f t="shared" ref="H79:H81" si="70">F79+G79</f>
        <v>346.60400000000004</v>
      </c>
      <c r="I79" s="370">
        <f>H79*(1+'BDI - HABITAÇÃO'!$C$22)</f>
        <v>439.49387200000007</v>
      </c>
      <c r="J79" s="370">
        <f>E79*F79</f>
        <v>160.22</v>
      </c>
      <c r="K79" s="370">
        <f>E79*G79</f>
        <v>186.38400000000001</v>
      </c>
      <c r="L79" s="371">
        <f>H79*E79</f>
        <v>346.60400000000004</v>
      </c>
      <c r="M79" s="371">
        <f>I79*E79</f>
        <v>439.49387200000007</v>
      </c>
      <c r="N79" s="397">
        <f>M79/$M$92</f>
        <v>0.39820256448781582</v>
      </c>
      <c r="O79" s="474">
        <f>M92/M98</f>
        <v>3.0928799999999996E-4</v>
      </c>
      <c r="P79" s="413">
        <v>10</v>
      </c>
      <c r="Q79" s="19">
        <f t="shared" ref="Q79" si="71">P79/100</f>
        <v>0.1</v>
      </c>
      <c r="R79" s="416">
        <f>Q79*$T$92/40</f>
        <v>110.36942280000001</v>
      </c>
      <c r="S79" s="413">
        <v>110.3694228</v>
      </c>
      <c r="T79" s="410"/>
      <c r="U79" s="39"/>
      <c r="V79" s="39"/>
      <c r="W79" s="39"/>
      <c r="Y79" s="515">
        <f t="shared" si="19"/>
        <v>13864.160000000002</v>
      </c>
      <c r="Z79" s="515">
        <f t="shared" si="20"/>
        <v>17579.754880000004</v>
      </c>
    </row>
    <row r="80" spans="1:26" ht="25.5">
      <c r="A80" s="473"/>
      <c r="B80" s="24" t="s">
        <v>684</v>
      </c>
      <c r="C80" s="25" t="s">
        <v>928</v>
      </c>
      <c r="D80" s="26" t="s">
        <v>693</v>
      </c>
      <c r="E80" s="100">
        <v>1</v>
      </c>
      <c r="F80" s="370">
        <f>'COMPOSIÇÕES DE PREÇO UNITÁRIO'!G25</f>
        <v>12</v>
      </c>
      <c r="G80" s="370">
        <f>'COMPOSIÇÕES DE PREÇO UNITÁRIO'!H25</f>
        <v>4.1814</v>
      </c>
      <c r="H80" s="370">
        <f t="shared" si="70"/>
        <v>16.1814</v>
      </c>
      <c r="I80" s="370">
        <f>H80*(1+'BDI - HABITAÇÃO'!$C$22)</f>
        <v>20.518015200000001</v>
      </c>
      <c r="J80" s="370">
        <f>E80*F80</f>
        <v>12</v>
      </c>
      <c r="K80" s="370">
        <f>E80*G80</f>
        <v>4.1814</v>
      </c>
      <c r="L80" s="371">
        <f>H80*E80</f>
        <v>16.1814</v>
      </c>
      <c r="M80" s="371">
        <f>I80*E80</f>
        <v>20.518015200000001</v>
      </c>
      <c r="N80" s="397">
        <f>M80/$M$92</f>
        <v>1.8590307604652984E-2</v>
      </c>
      <c r="O80" s="475"/>
      <c r="P80" s="413">
        <v>40</v>
      </c>
      <c r="Q80" s="19">
        <f t="shared" ref="Q80:Q81" si="72">P80/100</f>
        <v>0.4</v>
      </c>
      <c r="R80" s="416">
        <f>Q80*$T$92/40</f>
        <v>441.47769120000004</v>
      </c>
      <c r="S80" s="413">
        <v>441.47769119999998</v>
      </c>
      <c r="T80" s="410"/>
      <c r="U80" s="39"/>
      <c r="V80" s="39"/>
      <c r="W80" s="39"/>
      <c r="Y80" s="515">
        <f t="shared" si="19"/>
        <v>647.25599999999997</v>
      </c>
      <c r="Z80" s="515">
        <f t="shared" si="20"/>
        <v>820.72060800000008</v>
      </c>
    </row>
    <row r="81" spans="1:26" ht="25.5">
      <c r="A81" s="473"/>
      <c r="B81" s="24" t="s">
        <v>685</v>
      </c>
      <c r="C81" s="25" t="s">
        <v>874</v>
      </c>
      <c r="D81" s="26" t="s">
        <v>693</v>
      </c>
      <c r="E81" s="100">
        <v>1</v>
      </c>
      <c r="F81" s="370">
        <v>18.899999999999999</v>
      </c>
      <c r="G81" s="370">
        <v>12</v>
      </c>
      <c r="H81" s="370">
        <f t="shared" si="70"/>
        <v>30.9</v>
      </c>
      <c r="I81" s="370">
        <f>H81*(1+'BDI - HABITAÇÃO'!$C$22)</f>
        <v>39.181199999999997</v>
      </c>
      <c r="J81" s="370">
        <f>E81*F81</f>
        <v>18.899999999999999</v>
      </c>
      <c r="K81" s="370">
        <f>E81*G81</f>
        <v>12</v>
      </c>
      <c r="L81" s="371">
        <f>H81*E81</f>
        <v>30.9</v>
      </c>
      <c r="M81" s="371">
        <f>I81*E81</f>
        <v>39.181199999999997</v>
      </c>
      <c r="N81" s="397">
        <f>M81/$M$92</f>
        <v>3.5500049747474081E-2</v>
      </c>
      <c r="O81" s="475"/>
      <c r="P81" s="413">
        <v>40</v>
      </c>
      <c r="Q81" s="19">
        <f t="shared" si="72"/>
        <v>0.4</v>
      </c>
      <c r="R81" s="416">
        <f>Q81*$T$92/40</f>
        <v>441.47769120000004</v>
      </c>
      <c r="S81" s="413">
        <v>441.47769119999998</v>
      </c>
      <c r="U81" s="39"/>
      <c r="V81" s="39"/>
      <c r="W81" s="39"/>
      <c r="Y81" s="515">
        <f t="shared" si="19"/>
        <v>1236</v>
      </c>
      <c r="Z81" s="515">
        <f t="shared" si="20"/>
        <v>1567.2479999999998</v>
      </c>
    </row>
    <row r="82" spans="1:26" ht="38.25">
      <c r="A82" s="473"/>
      <c r="B82" s="24" t="s">
        <v>686</v>
      </c>
      <c r="C82" s="25" t="s">
        <v>875</v>
      </c>
      <c r="D82" s="26" t="s">
        <v>693</v>
      </c>
      <c r="E82" s="100">
        <v>1</v>
      </c>
      <c r="F82" s="370">
        <v>50.138194532071587</v>
      </c>
      <c r="G82" s="370">
        <f>F82*0.2</f>
        <v>10.027638906414317</v>
      </c>
      <c r="H82" s="370">
        <f t="shared" ref="H82:H91" si="73">F82+G82</f>
        <v>60.165833438485905</v>
      </c>
      <c r="I82" s="370">
        <f>H82*(1+'BDI - HABITAÇÃO'!$C$22)</f>
        <v>76.290276800000129</v>
      </c>
      <c r="J82" s="370">
        <f t="shared" ref="J82:J91" si="74">E82*F82</f>
        <v>50.138194532071587</v>
      </c>
      <c r="K82" s="370">
        <f t="shared" ref="K82:K91" si="75">E82*G82</f>
        <v>10.027638906414317</v>
      </c>
      <c r="L82" s="371">
        <f t="shared" ref="L82:L91" si="76">H82*E82</f>
        <v>60.165833438485905</v>
      </c>
      <c r="M82" s="371">
        <f t="shared" ref="M82:M91" si="77">I82*E82</f>
        <v>76.290276800000129</v>
      </c>
      <c r="N82" s="397">
        <f t="shared" ref="N82:N91" si="78">M82/$M$92</f>
        <v>6.9122656316002895E-2</v>
      </c>
      <c r="O82" s="475"/>
      <c r="Q82" s="19"/>
      <c r="R82" s="416"/>
      <c r="U82" s="39"/>
      <c r="V82" s="39"/>
      <c r="W82" s="39"/>
      <c r="Y82" s="515"/>
      <c r="Z82" s="515"/>
    </row>
    <row r="83" spans="1:26" ht="51">
      <c r="A83" s="473"/>
      <c r="B83" s="24" t="s">
        <v>918</v>
      </c>
      <c r="C83" s="25" t="s">
        <v>876</v>
      </c>
      <c r="D83" s="26" t="s">
        <v>693</v>
      </c>
      <c r="E83" s="100">
        <v>1</v>
      </c>
      <c r="F83" s="370">
        <v>66.312247634069394</v>
      </c>
      <c r="G83" s="370">
        <f t="shared" ref="G83:G91" si="79">F83*0.2</f>
        <v>13.26244952681388</v>
      </c>
      <c r="H83" s="370">
        <f t="shared" si="73"/>
        <v>79.574697160883275</v>
      </c>
      <c r="I83" s="370">
        <f>H83*(1+'BDI - HABITAÇÃO'!$C$22)</f>
        <v>100.90071599999999</v>
      </c>
      <c r="J83" s="370">
        <f t="shared" si="74"/>
        <v>66.312247634069394</v>
      </c>
      <c r="K83" s="370">
        <f t="shared" si="75"/>
        <v>13.26244952681388</v>
      </c>
      <c r="L83" s="371">
        <f t="shared" si="76"/>
        <v>79.574697160883275</v>
      </c>
      <c r="M83" s="371">
        <f t="shared" si="77"/>
        <v>100.90071599999999</v>
      </c>
      <c r="N83" s="397">
        <f t="shared" si="78"/>
        <v>9.1420896694224624E-2</v>
      </c>
      <c r="O83" s="475"/>
      <c r="Q83" s="19"/>
      <c r="R83" s="416"/>
      <c r="U83" s="39"/>
      <c r="V83" s="39"/>
      <c r="W83" s="39"/>
      <c r="Y83" s="515"/>
      <c r="Z83" s="515"/>
    </row>
    <row r="84" spans="1:26" ht="38.25">
      <c r="A84" s="473"/>
      <c r="B84" s="24" t="s">
        <v>919</v>
      </c>
      <c r="C84" s="166" t="s">
        <v>929</v>
      </c>
      <c r="D84" s="26" t="s">
        <v>693</v>
      </c>
      <c r="E84" s="100">
        <v>1</v>
      </c>
      <c r="F84" s="370">
        <v>68</v>
      </c>
      <c r="G84" s="370">
        <f t="shared" si="79"/>
        <v>13.600000000000001</v>
      </c>
      <c r="H84" s="370">
        <f t="shared" si="73"/>
        <v>81.599999999999994</v>
      </c>
      <c r="I84" s="370">
        <f>H84*(1+'BDI - HABITAÇÃO'!$C$22)</f>
        <v>103.46879999999999</v>
      </c>
      <c r="J84" s="370">
        <f t="shared" si="74"/>
        <v>68</v>
      </c>
      <c r="K84" s="370">
        <f t="shared" si="75"/>
        <v>13.600000000000001</v>
      </c>
      <c r="L84" s="371">
        <f t="shared" si="76"/>
        <v>81.599999999999994</v>
      </c>
      <c r="M84" s="371">
        <f t="shared" si="77"/>
        <v>103.46879999999999</v>
      </c>
      <c r="N84" s="397">
        <f t="shared" si="78"/>
        <v>9.3747704187504374E-2</v>
      </c>
      <c r="O84" s="475"/>
      <c r="Q84" s="19"/>
      <c r="R84" s="416"/>
      <c r="U84" s="39"/>
      <c r="V84" s="39"/>
      <c r="W84" s="39"/>
      <c r="Y84" s="515"/>
      <c r="Z84" s="515"/>
    </row>
    <row r="85" spans="1:26" ht="25.5">
      <c r="A85" s="473"/>
      <c r="B85" s="24" t="s">
        <v>920</v>
      </c>
      <c r="C85" s="25" t="s">
        <v>877</v>
      </c>
      <c r="D85" s="26" t="s">
        <v>693</v>
      </c>
      <c r="E85" s="100">
        <v>1</v>
      </c>
      <c r="F85" s="370">
        <v>33</v>
      </c>
      <c r="G85" s="370">
        <f t="shared" si="79"/>
        <v>6.6000000000000005</v>
      </c>
      <c r="H85" s="370">
        <f t="shared" si="73"/>
        <v>39.6</v>
      </c>
      <c r="I85" s="370">
        <f>H85*(1+'BDI - HABITAÇÃO'!$C$22)</f>
        <v>50.212800000000001</v>
      </c>
      <c r="J85" s="370">
        <f t="shared" si="74"/>
        <v>33</v>
      </c>
      <c r="K85" s="370">
        <f t="shared" si="75"/>
        <v>6.6000000000000005</v>
      </c>
      <c r="L85" s="371">
        <f t="shared" si="76"/>
        <v>39.6</v>
      </c>
      <c r="M85" s="371">
        <f t="shared" si="77"/>
        <v>50.212800000000001</v>
      </c>
      <c r="N85" s="397">
        <f t="shared" si="78"/>
        <v>4.5495209385112423E-2</v>
      </c>
      <c r="O85" s="475"/>
      <c r="Q85" s="19"/>
      <c r="R85" s="416"/>
      <c r="U85" s="39"/>
      <c r="V85" s="39"/>
      <c r="W85" s="39"/>
      <c r="Y85" s="515"/>
      <c r="Z85" s="515"/>
    </row>
    <row r="86" spans="1:26" ht="25.5">
      <c r="A86" s="473"/>
      <c r="B86" s="24" t="s">
        <v>921</v>
      </c>
      <c r="C86" s="25" t="s">
        <v>930</v>
      </c>
      <c r="D86" s="26" t="s">
        <v>693</v>
      </c>
      <c r="E86" s="100">
        <v>1</v>
      </c>
      <c r="F86" s="370">
        <v>25</v>
      </c>
      <c r="G86" s="370">
        <f t="shared" si="79"/>
        <v>5</v>
      </c>
      <c r="H86" s="370">
        <f t="shared" si="73"/>
        <v>30</v>
      </c>
      <c r="I86" s="370">
        <f>H86*(1+'BDI - HABITAÇÃO'!$C$22)</f>
        <v>38.04</v>
      </c>
      <c r="J86" s="370">
        <f t="shared" si="74"/>
        <v>25</v>
      </c>
      <c r="K86" s="370">
        <f t="shared" si="75"/>
        <v>5</v>
      </c>
      <c r="L86" s="371">
        <f t="shared" si="76"/>
        <v>30</v>
      </c>
      <c r="M86" s="371">
        <f t="shared" si="77"/>
        <v>38.04</v>
      </c>
      <c r="N86" s="397">
        <f t="shared" si="78"/>
        <v>3.446606771599426E-2</v>
      </c>
      <c r="O86" s="475"/>
      <c r="Q86" s="19"/>
      <c r="R86" s="416"/>
      <c r="U86" s="39"/>
      <c r="V86" s="39"/>
      <c r="W86" s="39"/>
      <c r="Y86" s="515"/>
      <c r="Z86" s="515"/>
    </row>
    <row r="87" spans="1:26" ht="25.5">
      <c r="A87" s="473"/>
      <c r="B87" s="24" t="s">
        <v>922</v>
      </c>
      <c r="C87" s="25" t="s">
        <v>931</v>
      </c>
      <c r="D87" s="26" t="s">
        <v>693</v>
      </c>
      <c r="E87" s="100">
        <v>1</v>
      </c>
      <c r="F87" s="370">
        <v>27.049487381703397</v>
      </c>
      <c r="G87" s="370">
        <f t="shared" si="79"/>
        <v>5.4098974763406797</v>
      </c>
      <c r="H87" s="370">
        <f t="shared" si="73"/>
        <v>32.459384858044075</v>
      </c>
      <c r="I87" s="370">
        <f>H87*(1+'BDI - HABITAÇÃO'!$C$22)</f>
        <v>41.15849999999989</v>
      </c>
      <c r="J87" s="370">
        <f t="shared" si="74"/>
        <v>27.049487381703397</v>
      </c>
      <c r="K87" s="370">
        <f t="shared" si="75"/>
        <v>5.4098974763406797</v>
      </c>
      <c r="L87" s="371">
        <f t="shared" si="76"/>
        <v>32.459384858044075</v>
      </c>
      <c r="M87" s="371">
        <f t="shared" si="77"/>
        <v>41.15849999999989</v>
      </c>
      <c r="N87" s="397">
        <f t="shared" si="78"/>
        <v>3.729157855122886E-2</v>
      </c>
      <c r="O87" s="475"/>
      <c r="Q87" s="19"/>
      <c r="R87" s="416"/>
      <c r="U87" s="39"/>
      <c r="V87" s="39"/>
      <c r="W87" s="39"/>
      <c r="Y87" s="515"/>
      <c r="Z87" s="515"/>
    </row>
    <row r="88" spans="1:26" ht="15.75">
      <c r="A88" s="473"/>
      <c r="B88" s="24" t="s">
        <v>923</v>
      </c>
      <c r="C88" s="25" t="s">
        <v>932</v>
      </c>
      <c r="D88" s="26" t="s">
        <v>693</v>
      </c>
      <c r="E88" s="100">
        <v>1</v>
      </c>
      <c r="F88" s="370">
        <v>32</v>
      </c>
      <c r="G88" s="370">
        <f t="shared" si="79"/>
        <v>6.4</v>
      </c>
      <c r="H88" s="370">
        <f t="shared" si="73"/>
        <v>38.4</v>
      </c>
      <c r="I88" s="370">
        <f>H88*(1+'BDI - HABITAÇÃO'!$C$22)</f>
        <v>48.691200000000002</v>
      </c>
      <c r="J88" s="370">
        <f t="shared" si="74"/>
        <v>32</v>
      </c>
      <c r="K88" s="370">
        <f t="shared" si="75"/>
        <v>6.4</v>
      </c>
      <c r="L88" s="371">
        <f t="shared" si="76"/>
        <v>38.4</v>
      </c>
      <c r="M88" s="371">
        <f t="shared" si="77"/>
        <v>48.691200000000002</v>
      </c>
      <c r="N88" s="397">
        <f t="shared" si="78"/>
        <v>4.4116566676472652E-2</v>
      </c>
      <c r="O88" s="475"/>
      <c r="Q88" s="19"/>
      <c r="R88" s="416"/>
      <c r="U88" s="39"/>
      <c r="V88" s="39"/>
      <c r="W88" s="39"/>
      <c r="Y88" s="515"/>
      <c r="Z88" s="515"/>
    </row>
    <row r="89" spans="1:26" ht="15.75">
      <c r="A89" s="473"/>
      <c r="B89" s="24" t="s">
        <v>924</v>
      </c>
      <c r="C89" s="25" t="s">
        <v>933</v>
      </c>
      <c r="D89" s="26" t="s">
        <v>693</v>
      </c>
      <c r="E89" s="100">
        <v>3</v>
      </c>
      <c r="F89" s="370">
        <v>19.579999999999998</v>
      </c>
      <c r="G89" s="370">
        <f t="shared" si="79"/>
        <v>3.9159999999999999</v>
      </c>
      <c r="H89" s="370">
        <f t="shared" si="73"/>
        <v>23.495999999999999</v>
      </c>
      <c r="I89" s="370">
        <f>H89*(1+'BDI - HABITAÇÃO'!$C$22)</f>
        <v>29.792928</v>
      </c>
      <c r="J89" s="370">
        <f t="shared" si="74"/>
        <v>58.739999999999995</v>
      </c>
      <c r="K89" s="370">
        <f t="shared" si="75"/>
        <v>11.747999999999999</v>
      </c>
      <c r="L89" s="371">
        <f t="shared" si="76"/>
        <v>70.488</v>
      </c>
      <c r="M89" s="371">
        <f t="shared" si="77"/>
        <v>89.378783999999996</v>
      </c>
      <c r="N89" s="397">
        <f t="shared" si="78"/>
        <v>8.0981472705500102E-2</v>
      </c>
      <c r="O89" s="475"/>
      <c r="Q89" s="19"/>
      <c r="R89" s="416"/>
      <c r="U89" s="39"/>
      <c r="V89" s="39"/>
      <c r="W89" s="39"/>
      <c r="Y89" s="515"/>
      <c r="Z89" s="515"/>
    </row>
    <row r="90" spans="1:26" ht="15.75">
      <c r="A90" s="473"/>
      <c r="B90" s="24" t="s">
        <v>925</v>
      </c>
      <c r="C90" s="25" t="s">
        <v>934</v>
      </c>
      <c r="D90" s="26" t="s">
        <v>693</v>
      </c>
      <c r="E90" s="100">
        <v>1</v>
      </c>
      <c r="F90" s="370">
        <v>18.5</v>
      </c>
      <c r="G90" s="370">
        <f t="shared" si="79"/>
        <v>3.7</v>
      </c>
      <c r="H90" s="370">
        <f t="shared" si="73"/>
        <v>22.2</v>
      </c>
      <c r="I90" s="370">
        <f>H90*(1+'BDI - HABITAÇÃO'!$C$22)</f>
        <v>28.1496</v>
      </c>
      <c r="J90" s="370">
        <f t="shared" si="74"/>
        <v>18.5</v>
      </c>
      <c r="K90" s="370">
        <f t="shared" si="75"/>
        <v>3.7</v>
      </c>
      <c r="L90" s="371">
        <f t="shared" si="76"/>
        <v>22.2</v>
      </c>
      <c r="M90" s="371">
        <f t="shared" si="77"/>
        <v>28.1496</v>
      </c>
      <c r="N90" s="397">
        <f t="shared" si="78"/>
        <v>2.550489010983575E-2</v>
      </c>
      <c r="O90" s="475"/>
      <c r="Q90" s="19"/>
      <c r="R90" s="416"/>
      <c r="U90" s="39"/>
      <c r="V90" s="39"/>
      <c r="W90" s="39"/>
      <c r="Y90" s="515"/>
      <c r="Z90" s="515"/>
    </row>
    <row r="91" spans="1:26" ht="25.5">
      <c r="A91" s="473"/>
      <c r="B91" s="24" t="s">
        <v>926</v>
      </c>
      <c r="C91" s="25" t="s">
        <v>935</v>
      </c>
      <c r="D91" s="26" t="s">
        <v>693</v>
      </c>
      <c r="E91" s="100">
        <v>1</v>
      </c>
      <c r="F91" s="370">
        <v>18.54</v>
      </c>
      <c r="G91" s="370">
        <f t="shared" si="79"/>
        <v>3.7080000000000002</v>
      </c>
      <c r="H91" s="370">
        <f t="shared" si="73"/>
        <v>22.247999999999998</v>
      </c>
      <c r="I91" s="370">
        <f>H91*(1+'BDI - HABITAÇÃO'!$C$22)</f>
        <v>28.210463999999998</v>
      </c>
      <c r="J91" s="370">
        <f t="shared" si="74"/>
        <v>18.54</v>
      </c>
      <c r="K91" s="370">
        <f t="shared" si="75"/>
        <v>3.7080000000000002</v>
      </c>
      <c r="L91" s="371">
        <f t="shared" si="76"/>
        <v>22.247999999999998</v>
      </c>
      <c r="M91" s="371">
        <f t="shared" si="77"/>
        <v>28.210463999999998</v>
      </c>
      <c r="N91" s="397">
        <f t="shared" si="78"/>
        <v>2.556003581818134E-2</v>
      </c>
      <c r="O91" s="475"/>
      <c r="Q91" s="19"/>
      <c r="R91" s="416"/>
      <c r="U91" s="39"/>
      <c r="V91" s="39"/>
      <c r="W91" s="39"/>
      <c r="Y91" s="515"/>
      <c r="Z91" s="515"/>
    </row>
    <row r="92" spans="1:26" ht="15.75">
      <c r="A92" s="476"/>
      <c r="B92" s="56"/>
      <c r="C92" s="429" t="s">
        <v>220</v>
      </c>
      <c r="D92" s="56"/>
      <c r="E92" s="265"/>
      <c r="F92" s="373"/>
      <c r="G92" s="373"/>
      <c r="H92" s="373"/>
      <c r="I92" s="373"/>
      <c r="J92" s="373"/>
      <c r="K92" s="373"/>
      <c r="L92" s="372">
        <f>SUM(L79:L91)</f>
        <v>870.42131545741336</v>
      </c>
      <c r="M92" s="372">
        <f>SUM(M79:M91)</f>
        <v>1103.6942279999998</v>
      </c>
      <c r="N92" s="398">
        <f>M92/$M$97</f>
        <v>2.2399999999999996E-2</v>
      </c>
      <c r="O92" s="477"/>
      <c r="P92" s="416">
        <f>M92*40</f>
        <v>44147.769119999997</v>
      </c>
      <c r="Q92" s="439">
        <f>T92/40</f>
        <v>1103.6942279999998</v>
      </c>
      <c r="R92" s="19">
        <v>1103.6942280000001</v>
      </c>
      <c r="S92" s="19" t="s">
        <v>399</v>
      </c>
      <c r="T92" s="410">
        <v>44147.769119999997</v>
      </c>
      <c r="U92" s="39" t="str">
        <f>IF(T92=P92,"BOA GAROTO","FAZ BATER")</f>
        <v>BOA GAROTO</v>
      </c>
      <c r="V92" s="39"/>
      <c r="W92" s="39"/>
      <c r="Y92" s="515">
        <f t="shared" si="19"/>
        <v>34816.852618296536</v>
      </c>
      <c r="Z92" s="515">
        <f t="shared" si="20"/>
        <v>44147.769119999997</v>
      </c>
    </row>
    <row r="93" spans="1:26">
      <c r="A93" s="471">
        <v>10</v>
      </c>
      <c r="B93" s="380"/>
      <c r="C93" s="381" t="s">
        <v>40</v>
      </c>
      <c r="D93" s="382"/>
      <c r="E93" s="383"/>
      <c r="F93" s="383"/>
      <c r="G93" s="383"/>
      <c r="H93" s="383"/>
      <c r="I93" s="383"/>
      <c r="J93" s="383"/>
      <c r="K93" s="383"/>
      <c r="L93" s="384"/>
      <c r="M93" s="384"/>
      <c r="N93" s="395"/>
      <c r="O93" s="478"/>
      <c r="U93" s="39"/>
      <c r="V93" s="39"/>
      <c r="W93" s="39"/>
      <c r="Y93" s="515">
        <f t="shared" si="19"/>
        <v>0</v>
      </c>
      <c r="Z93" s="515">
        <f t="shared" si="20"/>
        <v>0</v>
      </c>
    </row>
    <row r="94" spans="1:26" ht="15.75">
      <c r="A94" s="473"/>
      <c r="B94" s="24" t="s">
        <v>687</v>
      </c>
      <c r="C94" s="25" t="s">
        <v>937</v>
      </c>
      <c r="D94" s="26" t="s">
        <v>693</v>
      </c>
      <c r="E94" s="100">
        <v>1</v>
      </c>
      <c r="F94" s="370">
        <f>G94</f>
        <v>99.135528742209743</v>
      </c>
      <c r="G94" s="370">
        <v>99.135528742209743</v>
      </c>
      <c r="H94" s="370">
        <f t="shared" ref="H94:H95" si="80">F94+G94</f>
        <v>198.27105748441949</v>
      </c>
      <c r="I94" s="370">
        <f>H94*(1+'BDI - HABITAÇÃO'!$C$22)</f>
        <v>251.40770089024392</v>
      </c>
      <c r="J94" s="370">
        <f>E94*F94</f>
        <v>99.135528742209743</v>
      </c>
      <c r="K94" s="370">
        <f>E94*G94</f>
        <v>99.135528742209743</v>
      </c>
      <c r="L94" s="371">
        <f>H94*E94</f>
        <v>198.27105748441949</v>
      </c>
      <c r="M94" s="371">
        <f>I94*E94</f>
        <v>251.40770089024392</v>
      </c>
      <c r="N94" s="397">
        <f>M94/$M$25</f>
        <v>2.1983795882767103E-2</v>
      </c>
      <c r="O94" s="474">
        <f>M96/M98</f>
        <v>9.5271750000000001E-5</v>
      </c>
      <c r="P94" s="413">
        <v>73.948391657829632</v>
      </c>
      <c r="Q94" s="19">
        <f t="shared" ref="Q94:Q95" si="81">P94/100</f>
        <v>0.73948391657829626</v>
      </c>
      <c r="R94" s="416">
        <f>Q94*$T$96/40</f>
        <v>251.40770089024392</v>
      </c>
      <c r="S94" s="413">
        <v>251.407700890244</v>
      </c>
      <c r="U94" s="39"/>
      <c r="V94" s="39"/>
      <c r="W94" s="39"/>
      <c r="Y94" s="515">
        <f t="shared" si="19"/>
        <v>7930.8422993767799</v>
      </c>
      <c r="Z94" s="515">
        <f t="shared" si="20"/>
        <v>10056.308035609756</v>
      </c>
    </row>
    <row r="95" spans="1:26" ht="15.75">
      <c r="A95" s="473"/>
      <c r="B95" s="24" t="s">
        <v>688</v>
      </c>
      <c r="C95" s="25" t="s">
        <v>936</v>
      </c>
      <c r="D95" s="26" t="s">
        <v>693</v>
      </c>
      <c r="E95" s="100">
        <v>1</v>
      </c>
      <c r="F95" s="370">
        <f>G95*1.2</f>
        <v>38.099887719281362</v>
      </c>
      <c r="G95" s="370">
        <v>31.74990643273447</v>
      </c>
      <c r="H95" s="370">
        <f t="shared" si="80"/>
        <v>69.849794152015832</v>
      </c>
      <c r="I95" s="370">
        <f>H95*(1+'BDI - HABITAÇÃO'!$C$22)</f>
        <v>88.569538984756079</v>
      </c>
      <c r="J95" s="370">
        <f>E95*F95</f>
        <v>38.099887719281362</v>
      </c>
      <c r="K95" s="370">
        <f>E95*G95</f>
        <v>31.74990643273447</v>
      </c>
      <c r="L95" s="371">
        <f>H95*E95</f>
        <v>69.849794152015832</v>
      </c>
      <c r="M95" s="371">
        <f>I95*E95</f>
        <v>88.569538984756079</v>
      </c>
      <c r="N95" s="397">
        <f t="shared" ref="N95" si="82">M95/$M$25</f>
        <v>7.7447693908218691E-3</v>
      </c>
      <c r="O95" s="475"/>
      <c r="P95" s="413">
        <v>26.051608342170379</v>
      </c>
      <c r="Q95" s="19">
        <f t="shared" si="81"/>
        <v>0.26051608342170379</v>
      </c>
      <c r="R95" s="416">
        <f>Q95*$T$96/40</f>
        <v>88.569538984756093</v>
      </c>
      <c r="S95" s="413">
        <v>88.569538984756093</v>
      </c>
      <c r="U95" s="39"/>
      <c r="V95" s="39"/>
      <c r="W95" s="39"/>
      <c r="Y95" s="515">
        <f t="shared" si="19"/>
        <v>2793.9917660806332</v>
      </c>
      <c r="Z95" s="515">
        <f t="shared" si="20"/>
        <v>3542.7815593902433</v>
      </c>
    </row>
    <row r="96" spans="1:26" ht="15.75">
      <c r="A96" s="476"/>
      <c r="B96" s="56"/>
      <c r="C96" s="429" t="s">
        <v>220</v>
      </c>
      <c r="D96" s="56"/>
      <c r="E96" s="265"/>
      <c r="F96" s="373"/>
      <c r="G96" s="373"/>
      <c r="H96" s="373"/>
      <c r="I96" s="373"/>
      <c r="J96" s="373"/>
      <c r="K96" s="373"/>
      <c r="L96" s="372">
        <f>SUM(L94:L95)</f>
        <v>268.1208516364353</v>
      </c>
      <c r="M96" s="372">
        <f>SUM(M94:M95)</f>
        <v>339.97723987500001</v>
      </c>
      <c r="N96" s="398">
        <f>M96/$M$97</f>
        <v>6.8999999999999999E-3</v>
      </c>
      <c r="O96" s="477"/>
      <c r="P96" s="416">
        <f>M96*40</f>
        <v>13599.089595000001</v>
      </c>
      <c r="Q96" s="19"/>
      <c r="R96" s="19"/>
      <c r="S96" s="33" t="s">
        <v>40</v>
      </c>
      <c r="T96" s="411">
        <v>13599.089594999999</v>
      </c>
      <c r="U96" s="39" t="str">
        <f>IF(T96=P96,"BOA GAROTO","FAZ BATER")</f>
        <v>BOA GAROTO</v>
      </c>
      <c r="V96" s="39"/>
      <c r="W96" s="39"/>
      <c r="Y96" s="515">
        <f t="shared" si="19"/>
        <v>10724.834065457413</v>
      </c>
      <c r="Z96" s="515">
        <f t="shared" si="20"/>
        <v>13599.089595000001</v>
      </c>
    </row>
    <row r="97" spans="1:23" ht="12.75" customHeight="1">
      <c r="A97" s="573" t="s">
        <v>45</v>
      </c>
      <c r="B97" s="559"/>
      <c r="C97" s="559"/>
      <c r="D97" s="559"/>
      <c r="E97" s="559"/>
      <c r="F97" s="559"/>
      <c r="G97" s="559"/>
      <c r="H97" s="559"/>
      <c r="I97" s="559"/>
      <c r="J97" s="559"/>
      <c r="K97" s="559"/>
      <c r="L97" s="560"/>
      <c r="M97" s="384">
        <f>SUM(M12:M96)/2</f>
        <v>49272.063750000001</v>
      </c>
      <c r="N97" s="395"/>
      <c r="O97" s="478">
        <f>M97/$M$98</f>
        <v>1.38075E-2</v>
      </c>
      <c r="P97" s="423">
        <f>M97*40</f>
        <v>1970882.55</v>
      </c>
      <c r="T97" s="237">
        <v>1970882.55</v>
      </c>
      <c r="U97" s="39" t="str">
        <f>IF(T97=P97,"BOA GAROTO","FAZ BATER")</f>
        <v>BOA GAROTO</v>
      </c>
      <c r="V97" s="39"/>
      <c r="W97" s="39"/>
    </row>
    <row r="98" spans="1:23" ht="13.5" thickBot="1">
      <c r="A98" s="564" t="s">
        <v>669</v>
      </c>
      <c r="B98" s="565"/>
      <c r="C98" s="565"/>
      <c r="D98" s="565"/>
      <c r="E98" s="565"/>
      <c r="F98" s="565"/>
      <c r="G98" s="565"/>
      <c r="H98" s="565"/>
      <c r="I98" s="565"/>
      <c r="J98" s="565"/>
      <c r="K98" s="565"/>
      <c r="L98" s="566"/>
      <c r="M98" s="479">
        <f>'TABELA DE MEDIÇÃO E FATURAMENTO'!G10</f>
        <v>3568500</v>
      </c>
      <c r="N98" s="480"/>
      <c r="O98" s="481"/>
    </row>
    <row r="99" spans="1:23">
      <c r="A99" s="32"/>
      <c r="B99" s="32"/>
      <c r="C99" s="32"/>
      <c r="D99" s="32"/>
      <c r="E99" s="101"/>
      <c r="F99" s="101"/>
      <c r="G99" s="101"/>
      <c r="H99" s="101"/>
      <c r="I99" s="101"/>
      <c r="J99" s="101"/>
      <c r="K99" s="101"/>
      <c r="L99" s="32"/>
      <c r="M99" s="32"/>
      <c r="N99" s="391"/>
      <c r="O99" s="32"/>
    </row>
    <row r="100" spans="1:23">
      <c r="A100" s="361"/>
      <c r="B100" s="361"/>
      <c r="C100" s="361"/>
      <c r="D100" s="361"/>
      <c r="E100" s="101"/>
      <c r="F100" s="101"/>
      <c r="G100" s="101"/>
      <c r="H100" s="101"/>
      <c r="I100" s="101"/>
      <c r="J100" s="101"/>
      <c r="K100" s="101"/>
      <c r="L100" s="361"/>
      <c r="M100" s="361"/>
      <c r="N100" s="392"/>
      <c r="O100" s="361"/>
    </row>
    <row r="101" spans="1:23">
      <c r="A101" s="361"/>
      <c r="B101" s="361"/>
      <c r="C101" s="361"/>
      <c r="J101" s="431" t="s">
        <v>178</v>
      </c>
      <c r="K101" s="431"/>
      <c r="L101" s="431"/>
      <c r="O101" s="361"/>
    </row>
    <row r="102" spans="1:23">
      <c r="J102" s="430" t="s">
        <v>790</v>
      </c>
      <c r="K102" s="430"/>
      <c r="L102" s="430"/>
      <c r="O102" s="360"/>
    </row>
    <row r="103" spans="1:23">
      <c r="J103" s="430" t="s">
        <v>791</v>
      </c>
      <c r="K103" s="430"/>
      <c r="L103" s="430"/>
      <c r="O103" s="360"/>
    </row>
    <row r="104" spans="1:23">
      <c r="J104" s="430" t="s">
        <v>177</v>
      </c>
      <c r="K104" s="430"/>
      <c r="L104" s="430"/>
      <c r="O104" s="360"/>
    </row>
    <row r="105" spans="1:23">
      <c r="J105" s="557" t="s">
        <v>792</v>
      </c>
      <c r="K105" s="557"/>
      <c r="L105" s="557"/>
      <c r="O105" s="360"/>
    </row>
  </sheetData>
  <mergeCells count="5">
    <mergeCell ref="A98:L98"/>
    <mergeCell ref="A2:O2"/>
    <mergeCell ref="A4:O4"/>
    <mergeCell ref="A97:L97"/>
    <mergeCell ref="J105:L105"/>
  </mergeCells>
  <phoneticPr fontId="71" type="noConversion"/>
  <pageMargins left="0.511811024" right="0.511811024" top="0.78740157499999996" bottom="0.78740157499999996" header="0.31496062000000002" footer="0.31496062000000002"/>
  <pageSetup paperSize="9" scale="60" fitToHeight="0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AB122"/>
  <sheetViews>
    <sheetView tabSelected="1" view="pageBreakPreview" zoomScaleNormal="100" zoomScaleSheetLayoutView="100" workbookViewId="0">
      <selection activeCell="C25" sqref="C25"/>
    </sheetView>
  </sheetViews>
  <sheetFormatPr defaultColWidth="10.42578125" defaultRowHeight="12.75"/>
  <cols>
    <col min="1" max="1" width="4.85546875" style="28" bestFit="1" customWidth="1"/>
    <col min="2" max="2" width="7.28515625" style="28" bestFit="1" customWidth="1"/>
    <col min="3" max="3" width="60.7109375" style="29" customWidth="1"/>
    <col min="4" max="4" width="5" style="30" bestFit="1" customWidth="1"/>
    <col min="5" max="5" width="10.85546875" style="102" bestFit="1" customWidth="1"/>
    <col min="6" max="7" width="12.7109375" style="102" bestFit="1" customWidth="1"/>
    <col min="8" max="8" width="14.85546875" style="102" bestFit="1" customWidth="1"/>
    <col min="9" max="9" width="14" style="102" bestFit="1" customWidth="1"/>
    <col min="10" max="11" width="12.7109375" style="102" bestFit="1" customWidth="1"/>
    <col min="12" max="12" width="13" style="31" bestFit="1" customWidth="1"/>
    <col min="13" max="13" width="15" style="31" bestFit="1" customWidth="1"/>
    <col min="14" max="14" width="15" style="393" customWidth="1"/>
    <col min="15" max="15" width="12.28515625" style="31" customWidth="1"/>
    <col min="16" max="16" width="14.7109375" style="364" bestFit="1" customWidth="1"/>
    <col min="17" max="17" width="13.5703125" style="5" bestFit="1" customWidth="1"/>
    <col min="18" max="23" width="13.5703125" style="5" customWidth="1"/>
    <col min="24" max="24" width="12.42578125" style="5" bestFit="1" customWidth="1"/>
    <col min="25" max="25" width="55.140625" style="5" bestFit="1" customWidth="1"/>
    <col min="26" max="16384" width="10.42578125" style="5"/>
  </cols>
  <sheetData>
    <row r="1" spans="1:28" ht="6.75" customHeight="1">
      <c r="A1" s="9"/>
      <c r="B1" s="9"/>
      <c r="C1" s="10"/>
      <c r="D1" s="11"/>
      <c r="E1" s="96"/>
      <c r="F1" s="96"/>
      <c r="G1" s="96"/>
      <c r="H1" s="96"/>
      <c r="I1" s="96"/>
      <c r="J1" s="96"/>
      <c r="K1" s="96"/>
      <c r="L1" s="6"/>
      <c r="M1" s="6"/>
      <c r="N1" s="386"/>
      <c r="O1" s="6"/>
    </row>
    <row r="2" spans="1:28" ht="11.25" customHeight="1">
      <c r="A2" s="550" t="s">
        <v>489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</row>
    <row r="3" spans="1:28" ht="5.25" customHeight="1">
      <c r="A3" s="157"/>
      <c r="B3" s="157"/>
      <c r="C3" s="14"/>
      <c r="D3" s="15"/>
      <c r="E3" s="97"/>
      <c r="F3" s="97"/>
      <c r="G3" s="97"/>
      <c r="H3" s="97"/>
      <c r="I3" s="97"/>
      <c r="J3" s="97"/>
      <c r="K3" s="97"/>
      <c r="L3" s="16"/>
      <c r="M3" s="16"/>
      <c r="N3" s="387"/>
      <c r="O3" s="16"/>
    </row>
    <row r="4" spans="1:28" ht="11.25" customHeight="1">
      <c r="A4" s="551" t="s">
        <v>806</v>
      </c>
      <c r="B4" s="551"/>
      <c r="C4" s="551"/>
      <c r="D4" s="551"/>
      <c r="E4" s="551"/>
      <c r="F4" s="551"/>
      <c r="G4" s="551"/>
      <c r="H4" s="551"/>
      <c r="I4" s="551"/>
      <c r="J4" s="551"/>
      <c r="K4" s="551"/>
      <c r="L4" s="551"/>
      <c r="M4" s="551"/>
      <c r="N4" s="551"/>
      <c r="O4" s="551"/>
    </row>
    <row r="5" spans="1:28" s="275" customFormat="1" ht="6" customHeight="1">
      <c r="A5" s="267"/>
      <c r="B5" s="268"/>
      <c r="C5" s="269"/>
      <c r="D5" s="270"/>
      <c r="E5" s="271"/>
      <c r="F5" s="272"/>
      <c r="G5" s="273"/>
      <c r="H5" s="272"/>
      <c r="I5" s="272"/>
      <c r="J5" s="272"/>
      <c r="K5" s="272"/>
      <c r="L5" s="272"/>
      <c r="M5" s="272"/>
      <c r="N5" s="388"/>
      <c r="O5" s="274"/>
      <c r="P5" s="365"/>
    </row>
    <row r="6" spans="1:28" s="275" customFormat="1" ht="15">
      <c r="A6" s="409" t="s">
        <v>527</v>
      </c>
      <c r="B6" s="268"/>
      <c r="C6" s="269"/>
      <c r="D6" s="270"/>
      <c r="E6" s="271"/>
      <c r="F6" s="272"/>
      <c r="G6" s="273"/>
      <c r="H6" s="272"/>
      <c r="I6" s="272"/>
      <c r="J6" s="272"/>
      <c r="K6" s="272"/>
      <c r="L6" s="272"/>
      <c r="M6" s="272"/>
      <c r="N6" s="388"/>
      <c r="O6" s="274"/>
      <c r="P6" s="365"/>
    </row>
    <row r="7" spans="1:28" s="275" customFormat="1" ht="15">
      <c r="A7" s="409" t="s">
        <v>532</v>
      </c>
      <c r="B7" s="268"/>
      <c r="C7" s="269"/>
      <c r="D7" s="270"/>
      <c r="E7" s="271"/>
      <c r="F7" s="272"/>
      <c r="G7" s="273"/>
      <c r="H7" s="272"/>
      <c r="I7" s="272"/>
      <c r="J7" s="272"/>
      <c r="K7" s="272"/>
      <c r="L7" s="272"/>
      <c r="M7" s="272"/>
      <c r="N7" s="388"/>
      <c r="O7" s="274"/>
      <c r="P7" s="365"/>
    </row>
    <row r="8" spans="1:28" s="275" customFormat="1" ht="15">
      <c r="A8" s="409" t="s">
        <v>809</v>
      </c>
      <c r="B8" s="268"/>
      <c r="C8" s="269"/>
      <c r="D8" s="270"/>
      <c r="E8" s="271"/>
      <c r="F8" s="272"/>
      <c r="G8" s="273"/>
      <c r="H8" s="272"/>
      <c r="I8" s="272"/>
      <c r="J8" s="272"/>
      <c r="K8" s="272"/>
      <c r="L8" s="272"/>
      <c r="M8" s="272"/>
      <c r="N8" s="388"/>
      <c r="O8" s="274"/>
      <c r="P8" s="365"/>
    </row>
    <row r="9" spans="1:28" s="275" customFormat="1" ht="15">
      <c r="A9" s="409" t="s">
        <v>531</v>
      </c>
      <c r="B9" s="268"/>
      <c r="C9" s="269"/>
      <c r="D9" s="270"/>
      <c r="E9" s="271"/>
      <c r="F9" s="272"/>
      <c r="G9" s="273"/>
      <c r="H9" s="272"/>
      <c r="I9" s="272"/>
      <c r="J9" s="272"/>
      <c r="K9" s="272"/>
      <c r="L9" s="272"/>
      <c r="M9" s="272"/>
      <c r="N9" s="388"/>
      <c r="O9" s="274"/>
      <c r="P9" s="365"/>
    </row>
    <row r="10" spans="1:28" ht="25.5">
      <c r="A10" s="2" t="s">
        <v>202</v>
      </c>
      <c r="B10" s="2" t="s">
        <v>203</v>
      </c>
      <c r="C10" s="3" t="s">
        <v>204</v>
      </c>
      <c r="D10" s="3" t="s">
        <v>205</v>
      </c>
      <c r="E10" s="98" t="s">
        <v>206</v>
      </c>
      <c r="F10" s="98" t="s">
        <v>493</v>
      </c>
      <c r="G10" s="98" t="s">
        <v>494</v>
      </c>
      <c r="H10" s="98" t="s">
        <v>491</v>
      </c>
      <c r="I10" s="98" t="s">
        <v>492</v>
      </c>
      <c r="J10" s="98" t="s">
        <v>495</v>
      </c>
      <c r="K10" s="98" t="s">
        <v>496</v>
      </c>
      <c r="L10" s="4" t="s">
        <v>497</v>
      </c>
      <c r="M10" s="92" t="s">
        <v>498</v>
      </c>
      <c r="N10" s="389" t="s">
        <v>671</v>
      </c>
      <c r="O10" s="92" t="s">
        <v>670</v>
      </c>
    </row>
    <row r="11" spans="1:28" s="63" customFormat="1">
      <c r="A11" s="64"/>
      <c r="B11" s="64"/>
      <c r="C11" s="65"/>
      <c r="D11" s="65"/>
      <c r="E11" s="99"/>
      <c r="F11" s="99"/>
      <c r="G11" s="99"/>
      <c r="H11" s="99"/>
      <c r="I11" s="99"/>
      <c r="J11" s="99"/>
      <c r="K11" s="99"/>
      <c r="L11" s="66"/>
      <c r="M11" s="66"/>
      <c r="N11" s="390"/>
      <c r="O11" s="66"/>
      <c r="P11" s="366"/>
    </row>
    <row r="12" spans="1:28" s="19" customFormat="1">
      <c r="A12" s="380">
        <v>1</v>
      </c>
      <c r="B12" s="380"/>
      <c r="C12" s="381" t="s">
        <v>180</v>
      </c>
      <c r="D12" s="382" t="s">
        <v>41</v>
      </c>
      <c r="E12" s="383"/>
      <c r="F12" s="383"/>
      <c r="G12" s="383"/>
      <c r="H12" s="383"/>
      <c r="I12" s="383"/>
      <c r="J12" s="383"/>
      <c r="K12" s="383"/>
      <c r="L12" s="384" t="s">
        <v>41</v>
      </c>
      <c r="M12" s="384"/>
      <c r="N12" s="395"/>
      <c r="O12" s="396"/>
      <c r="P12" s="367"/>
      <c r="Q12" s="263"/>
      <c r="R12" s="263"/>
      <c r="S12" s="263"/>
      <c r="T12" s="263"/>
      <c r="U12" s="263"/>
      <c r="V12" s="263"/>
      <c r="W12" s="263"/>
      <c r="Y12" s="33"/>
      <c r="Z12" s="33"/>
      <c r="AA12" s="33"/>
      <c r="AB12" s="33"/>
    </row>
    <row r="13" spans="1:28" s="19" customFormat="1">
      <c r="A13" s="24"/>
      <c r="B13" s="24" t="s">
        <v>51</v>
      </c>
      <c r="C13" s="25" t="s">
        <v>499</v>
      </c>
      <c r="D13" s="26" t="s">
        <v>212</v>
      </c>
      <c r="E13" s="100">
        <v>11046.143</v>
      </c>
      <c r="F13" s="370">
        <v>0.01</v>
      </c>
      <c r="G13" s="370">
        <v>0.12</v>
      </c>
      <c r="H13" s="370">
        <f>F13+G13</f>
        <v>0.13</v>
      </c>
      <c r="I13" s="370">
        <f>H13*(1+'BDI - INFRAESTRUTURA'!$C$23)</f>
        <v>0.15060500000000002</v>
      </c>
      <c r="J13" s="370">
        <f>E13*F13</f>
        <v>110.46143000000001</v>
      </c>
      <c r="K13" s="370">
        <f>E13*G13</f>
        <v>1325.5371599999999</v>
      </c>
      <c r="L13" s="371">
        <f>H13*E13</f>
        <v>1435.9985900000001</v>
      </c>
      <c r="M13" s="371">
        <f>I13*E13</f>
        <v>1663.6043665150003</v>
      </c>
      <c r="N13" s="397">
        <f>M13/$M$17</f>
        <v>5.7105592720670076E-2</v>
      </c>
      <c r="O13" s="561">
        <f>M17/$M$115</f>
        <v>8.1636750000000004E-3</v>
      </c>
      <c r="P13" s="368"/>
      <c r="Y13" s="33"/>
      <c r="Z13" s="33"/>
      <c r="AA13" s="33"/>
      <c r="AB13" s="33"/>
    </row>
    <row r="14" spans="1:28" s="19" customFormat="1">
      <c r="A14" s="24"/>
      <c r="B14" s="24" t="s">
        <v>52</v>
      </c>
      <c r="C14" s="25" t="s">
        <v>500</v>
      </c>
      <c r="D14" s="26" t="s">
        <v>212</v>
      </c>
      <c r="E14" s="100">
        <v>1862.87</v>
      </c>
      <c r="F14" s="370">
        <v>0.03</v>
      </c>
      <c r="G14" s="370">
        <v>0.62</v>
      </c>
      <c r="H14" s="370">
        <f t="shared" ref="H14:H16" si="0">F14+G14</f>
        <v>0.65</v>
      </c>
      <c r="I14" s="370">
        <f>H14*(1+'BDI - INFRAESTRUTURA'!$C$23)</f>
        <v>0.75302500000000006</v>
      </c>
      <c r="J14" s="370">
        <f t="shared" ref="J14:J16" si="1">E14*F14</f>
        <v>55.886099999999992</v>
      </c>
      <c r="K14" s="370">
        <f t="shared" ref="K14:K16" si="2">E14*G14</f>
        <v>1154.9793999999999</v>
      </c>
      <c r="L14" s="371">
        <f t="shared" ref="L14:L16" si="3">H14*E14</f>
        <v>1210.8654999999999</v>
      </c>
      <c r="M14" s="371">
        <f t="shared" ref="M14:M16" si="4">I14*E14</f>
        <v>1402.78768175</v>
      </c>
      <c r="N14" s="397">
        <f>M14/$M$17</f>
        <v>4.8152688006824935E-2</v>
      </c>
      <c r="O14" s="562"/>
      <c r="P14" s="368"/>
      <c r="Y14" s="33"/>
      <c r="Z14" s="33"/>
      <c r="AA14" s="33"/>
      <c r="AB14" s="33"/>
    </row>
    <row r="15" spans="1:28" s="33" customFormat="1" ht="25.5">
      <c r="A15" s="24"/>
      <c r="B15" s="24" t="s">
        <v>53</v>
      </c>
      <c r="C15" s="25" t="s">
        <v>966</v>
      </c>
      <c r="D15" s="26" t="s">
        <v>214</v>
      </c>
      <c r="E15" s="100">
        <v>2369.2199999999998</v>
      </c>
      <c r="F15" s="370">
        <v>2</v>
      </c>
      <c r="G15" s="370">
        <v>4.8175787899527354</v>
      </c>
      <c r="H15" s="370">
        <f t="shared" si="0"/>
        <v>6.8175787899527354</v>
      </c>
      <c r="I15" s="370">
        <f>H15*(1+'BDI - INFRAESTRUTURA'!$C$23)</f>
        <v>7.8981650281602445</v>
      </c>
      <c r="J15" s="370">
        <f t="shared" si="1"/>
        <v>4738.4399999999996</v>
      </c>
      <c r="K15" s="370">
        <f t="shared" si="2"/>
        <v>11413.904020731819</v>
      </c>
      <c r="L15" s="371">
        <f t="shared" si="3"/>
        <v>16152.344020731818</v>
      </c>
      <c r="M15" s="371">
        <f t="shared" si="4"/>
        <v>18712.490548017813</v>
      </c>
      <c r="N15" s="397">
        <f>M15/$M$17</f>
        <v>0.64233292814867016</v>
      </c>
      <c r="O15" s="562"/>
      <c r="P15" s="369"/>
    </row>
    <row r="16" spans="1:28" s="19" customFormat="1">
      <c r="A16" s="24"/>
      <c r="B16" s="24" t="s">
        <v>167</v>
      </c>
      <c r="C16" s="25" t="s">
        <v>501</v>
      </c>
      <c r="D16" s="26" t="s">
        <v>212</v>
      </c>
      <c r="E16" s="100">
        <v>931</v>
      </c>
      <c r="F16" s="370">
        <v>2</v>
      </c>
      <c r="G16" s="370">
        <f>G15</f>
        <v>4.8175787899527354</v>
      </c>
      <c r="H16" s="370">
        <f t="shared" si="0"/>
        <v>6.8175787899527354</v>
      </c>
      <c r="I16" s="370">
        <f>H16*(1+'BDI - INFRAESTRUTURA'!$C$23)</f>
        <v>7.8981650281602445</v>
      </c>
      <c r="J16" s="370">
        <f t="shared" si="1"/>
        <v>1862</v>
      </c>
      <c r="K16" s="370">
        <f t="shared" si="2"/>
        <v>4485.1658534459966</v>
      </c>
      <c r="L16" s="371">
        <f t="shared" si="3"/>
        <v>6347.1658534459966</v>
      </c>
      <c r="M16" s="371">
        <f t="shared" si="4"/>
        <v>7353.1916412171877</v>
      </c>
      <c r="N16" s="397">
        <f>M16/$M$17</f>
        <v>0.25240879112383485</v>
      </c>
      <c r="O16" s="562"/>
      <c r="P16" s="368"/>
      <c r="Y16" s="33"/>
      <c r="Z16" s="33"/>
      <c r="AA16" s="33"/>
      <c r="AB16" s="33"/>
    </row>
    <row r="17" spans="1:28" s="19" customFormat="1" ht="15.75">
      <c r="A17" s="264"/>
      <c r="B17" s="56"/>
      <c r="C17" s="158" t="s">
        <v>220</v>
      </c>
      <c r="D17" s="56"/>
      <c r="E17" s="265"/>
      <c r="F17" s="265"/>
      <c r="G17" s="265"/>
      <c r="H17" s="265"/>
      <c r="I17" s="265"/>
      <c r="J17" s="372"/>
      <c r="K17" s="372"/>
      <c r="L17" s="372">
        <f>SUM(L13:L16)</f>
        <v>25146.373964177816</v>
      </c>
      <c r="M17" s="372">
        <f>SUM(M13:M16)</f>
        <v>29132.074237500001</v>
      </c>
      <c r="N17" s="398">
        <f>M17/$M$114</f>
        <v>2.7943898210660182E-2</v>
      </c>
      <c r="O17" s="563"/>
      <c r="P17" s="275">
        <v>29132.074237499997</v>
      </c>
      <c r="Q17" s="39" t="str">
        <f>IF(P17=M17,"BOA GAROTO","FAZ BATER")</f>
        <v>BOA GAROTO</v>
      </c>
      <c r="Y17" s="33"/>
      <c r="Z17" s="33"/>
      <c r="AA17" s="33"/>
      <c r="AB17" s="33"/>
    </row>
    <row r="18" spans="1:28" s="19" customFormat="1">
      <c r="A18" s="380">
        <v>2</v>
      </c>
      <c r="B18" s="380"/>
      <c r="C18" s="381" t="s">
        <v>396</v>
      </c>
      <c r="D18" s="382" t="s">
        <v>41</v>
      </c>
      <c r="E18" s="383"/>
      <c r="F18" s="383"/>
      <c r="G18" s="383"/>
      <c r="H18" s="383"/>
      <c r="I18" s="383"/>
      <c r="J18" s="383"/>
      <c r="K18" s="383"/>
      <c r="L18" s="384"/>
      <c r="M18" s="384"/>
      <c r="N18" s="395"/>
      <c r="O18" s="396"/>
      <c r="P18" s="363"/>
      <c r="Q18" s="263"/>
      <c r="R18" s="263"/>
      <c r="S18" s="263"/>
      <c r="T18" s="263"/>
      <c r="U18" s="263"/>
      <c r="V18" s="263"/>
      <c r="W18" s="263"/>
      <c r="X18" s="33"/>
      <c r="Y18" s="33"/>
      <c r="Z18" s="33"/>
      <c r="AA18" s="33"/>
      <c r="AB18" s="33"/>
    </row>
    <row r="19" spans="1:28" s="19" customFormat="1" ht="25.5">
      <c r="A19" s="24"/>
      <c r="B19" s="24" t="s">
        <v>1</v>
      </c>
      <c r="C19" s="25" t="s">
        <v>1028</v>
      </c>
      <c r="D19" s="26" t="s">
        <v>212</v>
      </c>
      <c r="E19" s="100">
        <v>7.2</v>
      </c>
      <c r="F19" s="370">
        <f>'COMPOSIÇÕES DE PREÇOS INFRA'!G27</f>
        <v>327.48</v>
      </c>
      <c r="G19" s="370">
        <f>'COMPOSIÇÕES DE PREÇOS INFRA'!H27</f>
        <v>520.27877999999998</v>
      </c>
      <c r="H19" s="370">
        <f t="shared" ref="H19:H24" si="5">F19+G19</f>
        <v>847.75878</v>
      </c>
      <c r="I19" s="370">
        <f>H19*(1+'BDI - INFRAESTRUTURA'!$C$23)</f>
        <v>982.12854663000007</v>
      </c>
      <c r="J19" s="370">
        <f t="shared" ref="J19:J24" si="6">E19*F19</f>
        <v>2357.8560000000002</v>
      </c>
      <c r="K19" s="370">
        <f>E19*G19</f>
        <v>3746.007216</v>
      </c>
      <c r="L19" s="371">
        <f t="shared" ref="L19:L24" si="7">H19*E19</f>
        <v>6103.8632159999997</v>
      </c>
      <c r="M19" s="371">
        <f t="shared" ref="M19:M24" si="8">I19*E19</f>
        <v>7071.3255357360003</v>
      </c>
      <c r="N19" s="397">
        <f>M19/$M$25</f>
        <v>2.9530915742229508E-2</v>
      </c>
      <c r="O19" s="574">
        <f>M25/$M$115</f>
        <v>6.7102425000000007E-2</v>
      </c>
      <c r="P19" s="368"/>
      <c r="Y19" s="33"/>
      <c r="Z19" s="33"/>
      <c r="AA19" s="33"/>
      <c r="AB19" s="33"/>
    </row>
    <row r="20" spans="1:28" s="19" customFormat="1">
      <c r="A20" s="24"/>
      <c r="B20" s="24" t="s">
        <v>2</v>
      </c>
      <c r="C20" s="25" t="s">
        <v>1029</v>
      </c>
      <c r="D20" s="26" t="s">
        <v>212</v>
      </c>
      <c r="E20" s="100">
        <f>E23</f>
        <v>478</v>
      </c>
      <c r="F20" s="370">
        <v>3.5</v>
      </c>
      <c r="G20" s="370">
        <v>3.4</v>
      </c>
      <c r="H20" s="370">
        <f t="shared" si="5"/>
        <v>6.9</v>
      </c>
      <c r="I20" s="370">
        <f>H20*(1+'BDI - INFRAESTRUTURA'!$C$23)</f>
        <v>7.9936500000000006</v>
      </c>
      <c r="J20" s="370">
        <f t="shared" si="6"/>
        <v>1673</v>
      </c>
      <c r="K20" s="370">
        <f t="shared" ref="K20:K24" si="9">E20*G20</f>
        <v>1625.2</v>
      </c>
      <c r="L20" s="371">
        <f t="shared" si="7"/>
        <v>3298.2000000000003</v>
      </c>
      <c r="M20" s="371">
        <f t="shared" si="8"/>
        <v>3820.9647000000004</v>
      </c>
      <c r="N20" s="397">
        <f t="shared" ref="N20:N24" si="10">M20/$M$25</f>
        <v>1.5956921519098041E-2</v>
      </c>
      <c r="O20" s="575"/>
      <c r="P20" s="367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</row>
    <row r="21" spans="1:28" s="19" customFormat="1" ht="25.5">
      <c r="A21" s="24"/>
      <c r="B21" s="24" t="s">
        <v>55</v>
      </c>
      <c r="C21" s="25" t="s">
        <v>1030</v>
      </c>
      <c r="D21" s="26" t="s">
        <v>218</v>
      </c>
      <c r="E21" s="100">
        <v>360.6</v>
      </c>
      <c r="F21" s="370">
        <v>29.03</v>
      </c>
      <c r="G21" s="370">
        <v>34.46</v>
      </c>
      <c r="H21" s="370">
        <f t="shared" si="5"/>
        <v>63.49</v>
      </c>
      <c r="I21" s="370">
        <f>H21*(1+'BDI - INFRAESTRUTURA'!$C$23)</f>
        <v>73.553165000000007</v>
      </c>
      <c r="J21" s="370">
        <f t="shared" si="6"/>
        <v>10468.218000000001</v>
      </c>
      <c r="K21" s="370">
        <f t="shared" si="9"/>
        <v>12426.276000000002</v>
      </c>
      <c r="L21" s="371">
        <f t="shared" si="7"/>
        <v>22894.494000000002</v>
      </c>
      <c r="M21" s="371">
        <f t="shared" si="8"/>
        <v>26523.271299000004</v>
      </c>
      <c r="N21" s="397">
        <f t="shared" si="10"/>
        <v>0.11076515795811685</v>
      </c>
      <c r="O21" s="575"/>
      <c r="Q21" s="367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</row>
    <row r="22" spans="1:28" s="33" customFormat="1">
      <c r="A22" s="24"/>
      <c r="B22" s="24" t="s">
        <v>56</v>
      </c>
      <c r="C22" s="25" t="s">
        <v>1031</v>
      </c>
      <c r="D22" s="26" t="s">
        <v>429</v>
      </c>
      <c r="E22" s="100">
        <v>4</v>
      </c>
      <c r="F22" s="370">
        <v>114.95467741935482</v>
      </c>
      <c r="G22" s="370">
        <v>76.636451612903215</v>
      </c>
      <c r="H22" s="370">
        <f t="shared" si="5"/>
        <v>191.59112903225804</v>
      </c>
      <c r="I22" s="370">
        <f>H22*(1+'BDI - INFRAESTRUTURA'!$C$23)</f>
        <v>221.95832298387094</v>
      </c>
      <c r="J22" s="370">
        <f t="shared" si="6"/>
        <v>459.81870967741929</v>
      </c>
      <c r="K22" s="370">
        <f t="shared" si="9"/>
        <v>306.54580645161286</v>
      </c>
      <c r="L22" s="371">
        <f t="shared" si="7"/>
        <v>766.36451612903215</v>
      </c>
      <c r="M22" s="371">
        <f t="shared" si="8"/>
        <v>887.83329193548377</v>
      </c>
      <c r="N22" s="397">
        <f t="shared" si="10"/>
        <v>3.7077249526688829E-3</v>
      </c>
      <c r="O22" s="575"/>
      <c r="Q22" s="367"/>
    </row>
    <row r="23" spans="1:28" s="19" customFormat="1">
      <c r="A23" s="24"/>
      <c r="B23" s="24" t="s">
        <v>57</v>
      </c>
      <c r="C23" s="25" t="s">
        <v>1032</v>
      </c>
      <c r="D23" s="26" t="s">
        <v>212</v>
      </c>
      <c r="E23" s="100">
        <v>478</v>
      </c>
      <c r="F23" s="370">
        <v>72.310842597139526</v>
      </c>
      <c r="G23" s="370">
        <f>F23*1.2</f>
        <v>86.773011116567432</v>
      </c>
      <c r="H23" s="370">
        <f t="shared" si="5"/>
        <v>159.08385371370696</v>
      </c>
      <c r="I23" s="370">
        <f>H23*(1+'BDI - INFRAESTRUTURA'!$C$23)</f>
        <v>184.29864452732951</v>
      </c>
      <c r="J23" s="370">
        <f t="shared" si="6"/>
        <v>34564.582761432692</v>
      </c>
      <c r="K23" s="370">
        <f t="shared" si="9"/>
        <v>41477.499313719236</v>
      </c>
      <c r="L23" s="371">
        <f t="shared" si="7"/>
        <v>76042.08207515192</v>
      </c>
      <c r="M23" s="371">
        <f t="shared" si="8"/>
        <v>88094.752084063512</v>
      </c>
      <c r="N23" s="397">
        <f t="shared" si="10"/>
        <v>0.36789689400946307</v>
      </c>
      <c r="O23" s="575"/>
      <c r="P23" s="371"/>
      <c r="Q23" s="506"/>
      <c r="R23" s="506"/>
      <c r="S23" s="506"/>
      <c r="T23" s="506"/>
      <c r="U23" s="506"/>
      <c r="V23" s="506"/>
      <c r="W23" s="506"/>
      <c r="X23" s="33"/>
      <c r="Y23" s="33"/>
      <c r="Z23" s="33"/>
      <c r="AA23" s="33"/>
      <c r="AB23" s="33"/>
    </row>
    <row r="24" spans="1:28" s="19" customFormat="1">
      <c r="A24" s="24"/>
      <c r="B24" s="24" t="s">
        <v>389</v>
      </c>
      <c r="C24" s="25" t="s">
        <v>1033</v>
      </c>
      <c r="D24" s="26" t="s">
        <v>218</v>
      </c>
      <c r="E24" s="100">
        <v>463</v>
      </c>
      <c r="F24" s="370">
        <v>95.806990157235958</v>
      </c>
      <c r="G24" s="370">
        <f>F24*1.2</f>
        <v>114.96838818868315</v>
      </c>
      <c r="H24" s="370">
        <f t="shared" si="5"/>
        <v>210.77537834591911</v>
      </c>
      <c r="I24" s="370">
        <f>H24*(1+'BDI - INFRAESTRUTURA'!$C$23)</f>
        <v>244.18327581374731</v>
      </c>
      <c r="J24" s="370">
        <f t="shared" si="6"/>
        <v>44358.636442800249</v>
      </c>
      <c r="K24" s="370">
        <f t="shared" si="9"/>
        <v>53230.363731360296</v>
      </c>
      <c r="L24" s="371">
        <f t="shared" si="7"/>
        <v>97589.000174160552</v>
      </c>
      <c r="M24" s="371">
        <f t="shared" si="8"/>
        <v>113056.85670176501</v>
      </c>
      <c r="N24" s="397">
        <f t="shared" si="10"/>
        <v>0.47214238581842366</v>
      </c>
      <c r="O24" s="575"/>
      <c r="P24" s="371"/>
      <c r="Q24" s="506"/>
      <c r="R24" s="506"/>
      <c r="S24" s="506"/>
      <c r="T24" s="506"/>
      <c r="U24" s="506"/>
      <c r="V24" s="506"/>
      <c r="W24" s="506"/>
      <c r="X24" s="33"/>
      <c r="Y24" s="33"/>
      <c r="Z24" s="33"/>
      <c r="AA24" s="33"/>
      <c r="AB24" s="33"/>
    </row>
    <row r="25" spans="1:28" s="19" customFormat="1" ht="15.75">
      <c r="A25" s="264"/>
      <c r="B25" s="56"/>
      <c r="C25" s="158" t="s">
        <v>220</v>
      </c>
      <c r="D25" s="56"/>
      <c r="E25" s="265"/>
      <c r="F25" s="265"/>
      <c r="G25" s="265"/>
      <c r="H25" s="265"/>
      <c r="I25" s="265"/>
      <c r="J25" s="265"/>
      <c r="K25" s="265"/>
      <c r="L25" s="266"/>
      <c r="M25" s="372">
        <f>SUM(M19:M24)</f>
        <v>239455.0036125</v>
      </c>
      <c r="N25" s="398">
        <f>M25/$M$114</f>
        <v>0.22968863090317279</v>
      </c>
      <c r="O25" s="576"/>
      <c r="P25" s="275">
        <v>239455.0036125</v>
      </c>
      <c r="Q25" s="39" t="str">
        <f>IF(P25=M25,"BOA GAROTO","FAZ BATER")</f>
        <v>BOA GAROTO</v>
      </c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</row>
    <row r="26" spans="1:28" s="19" customFormat="1">
      <c r="A26" s="380">
        <v>3</v>
      </c>
      <c r="B26" s="380"/>
      <c r="C26" s="381" t="s">
        <v>518</v>
      </c>
      <c r="D26" s="382" t="s">
        <v>41</v>
      </c>
      <c r="E26" s="383"/>
      <c r="F26" s="383"/>
      <c r="G26" s="383"/>
      <c r="H26" s="383"/>
      <c r="I26" s="383"/>
      <c r="J26" s="383"/>
      <c r="K26" s="383"/>
      <c r="L26" s="384"/>
      <c r="M26" s="384"/>
      <c r="N26" s="395"/>
      <c r="O26" s="396"/>
      <c r="P26" s="367"/>
      <c r="Q26" s="263"/>
      <c r="R26" s="263"/>
      <c r="S26" s="263"/>
      <c r="T26" s="263"/>
      <c r="U26" s="263"/>
      <c r="V26" s="263"/>
      <c r="W26" s="263"/>
      <c r="X26" s="33"/>
      <c r="Y26" s="33"/>
      <c r="Z26" s="33"/>
      <c r="AA26" s="33"/>
      <c r="AB26" s="33"/>
    </row>
    <row r="27" spans="1:28" s="19" customFormat="1">
      <c r="A27" s="375" t="s">
        <v>3</v>
      </c>
      <c r="B27" s="375"/>
      <c r="C27" s="376" t="s">
        <v>431</v>
      </c>
      <c r="D27" s="377"/>
      <c r="E27" s="378"/>
      <c r="F27" s="378"/>
      <c r="G27" s="378"/>
      <c r="H27" s="378"/>
      <c r="I27" s="378"/>
      <c r="J27" s="378"/>
      <c r="K27" s="378"/>
      <c r="L27" s="379"/>
      <c r="M27" s="379"/>
      <c r="N27" s="399"/>
      <c r="O27" s="574">
        <f>M47/$M$115</f>
        <v>9.4246424999999981E-2</v>
      </c>
      <c r="P27" s="363">
        <f>SUM(M28:M33)</f>
        <v>80428.720821978699</v>
      </c>
      <c r="Q27" s="263">
        <v>80428.720821978699</v>
      </c>
      <c r="R27" s="263"/>
      <c r="S27" s="263"/>
      <c r="T27" s="263"/>
      <c r="U27" s="263"/>
      <c r="V27" s="263"/>
      <c r="W27" s="263"/>
      <c r="X27" s="394"/>
      <c r="Y27" s="33"/>
      <c r="Z27" s="33"/>
      <c r="AA27" s="33"/>
      <c r="AB27" s="33"/>
    </row>
    <row r="28" spans="1:28" s="19" customFormat="1">
      <c r="A28" s="24"/>
      <c r="B28" s="24" t="s">
        <v>73</v>
      </c>
      <c r="C28" s="25" t="s">
        <v>1039</v>
      </c>
      <c r="D28" s="26" t="s">
        <v>218</v>
      </c>
      <c r="E28" s="100">
        <v>252.16</v>
      </c>
      <c r="F28" s="370">
        <v>111.89646116765334</v>
      </c>
      <c r="G28" s="370">
        <v>43.968609999999998</v>
      </c>
      <c r="H28" s="370">
        <f t="shared" ref="H28:H33" si="11">F28+G28</f>
        <v>155.86507116765335</v>
      </c>
      <c r="I28" s="370">
        <f>H28*(1+'BDI - INFRAESTRUTURA'!$C$23)</f>
        <v>180.56968494772642</v>
      </c>
      <c r="J28" s="370">
        <f t="shared" ref="J28:J33" si="12">E28*F28</f>
        <v>28215.811648035466</v>
      </c>
      <c r="K28" s="370">
        <f t="shared" ref="K28:K33" si="13">E28*G28</f>
        <v>11087.1246976</v>
      </c>
      <c r="L28" s="371">
        <f t="shared" ref="L28:L33" si="14">H28*E28</f>
        <v>39302.936345635469</v>
      </c>
      <c r="M28" s="371">
        <f t="shared" ref="M28:M33" si="15">I28*E28</f>
        <v>45532.45175641869</v>
      </c>
      <c r="N28" s="397">
        <f t="shared" ref="N28:N33" si="16">M28/$M$47</f>
        <v>0.13538496894966015</v>
      </c>
      <c r="O28" s="575"/>
      <c r="P28" s="367"/>
      <c r="Q28" s="263"/>
      <c r="R28" s="263"/>
      <c r="S28" s="263"/>
      <c r="T28" s="263"/>
      <c r="U28" s="263"/>
      <c r="V28" s="263"/>
      <c r="W28" s="263"/>
      <c r="X28" s="394"/>
      <c r="Y28" s="33"/>
      <c r="Z28" s="33"/>
      <c r="AA28" s="33"/>
      <c r="AB28" s="33"/>
    </row>
    <row r="29" spans="1:28" s="19" customFormat="1">
      <c r="A29" s="24"/>
      <c r="B29" s="24" t="s">
        <v>74</v>
      </c>
      <c r="C29" s="25" t="s">
        <v>1040</v>
      </c>
      <c r="D29" s="26" t="s">
        <v>429</v>
      </c>
      <c r="E29" s="100">
        <v>2</v>
      </c>
      <c r="F29" s="370">
        <v>675.94799999999987</v>
      </c>
      <c r="G29" s="370">
        <v>450.63200000000001</v>
      </c>
      <c r="H29" s="370">
        <f t="shared" si="11"/>
        <v>1126.58</v>
      </c>
      <c r="I29" s="370">
        <f>H29*(1+'BDI - INFRAESTRUTURA'!$C$23)</f>
        <v>1305.14293</v>
      </c>
      <c r="J29" s="370">
        <f t="shared" si="12"/>
        <v>1351.8959999999997</v>
      </c>
      <c r="K29" s="370">
        <f t="shared" si="13"/>
        <v>901.26400000000001</v>
      </c>
      <c r="L29" s="371">
        <f t="shared" si="14"/>
        <v>2253.16</v>
      </c>
      <c r="M29" s="371">
        <f t="shared" si="15"/>
        <v>2610.28586</v>
      </c>
      <c r="N29" s="397">
        <f t="shared" si="16"/>
        <v>7.761353858042999E-3</v>
      </c>
      <c r="O29" s="575"/>
      <c r="P29" s="367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</row>
    <row r="30" spans="1:28" s="19" customFormat="1" ht="25.5">
      <c r="A30" s="24"/>
      <c r="B30" s="24" t="s">
        <v>75</v>
      </c>
      <c r="C30" s="25" t="s">
        <v>1041</v>
      </c>
      <c r="D30" s="26" t="s">
        <v>218</v>
      </c>
      <c r="E30" s="100">
        <v>73</v>
      </c>
      <c r="F30" s="370">
        <v>183.35</v>
      </c>
      <c r="G30" s="370">
        <v>23.56</v>
      </c>
      <c r="H30" s="370">
        <f t="shared" si="11"/>
        <v>206.91</v>
      </c>
      <c r="I30" s="370">
        <f>H30*(1+'BDI - INFRAESTRUTURA'!$C$23)</f>
        <v>239.70523500000002</v>
      </c>
      <c r="J30" s="370">
        <f t="shared" si="12"/>
        <v>13384.55</v>
      </c>
      <c r="K30" s="370">
        <f t="shared" si="13"/>
        <v>1719.8799999999999</v>
      </c>
      <c r="L30" s="371">
        <f t="shared" si="14"/>
        <v>15104.43</v>
      </c>
      <c r="M30" s="371">
        <f t="shared" si="15"/>
        <v>17498.482155000002</v>
      </c>
      <c r="N30" s="397">
        <f t="shared" si="16"/>
        <v>5.2029516791546285E-2</v>
      </c>
      <c r="O30" s="575"/>
      <c r="P30" s="367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spans="1:28" s="34" customFormat="1">
      <c r="A31" s="24"/>
      <c r="B31" s="24" t="s">
        <v>76</v>
      </c>
      <c r="C31" s="25" t="s">
        <v>1042</v>
      </c>
      <c r="D31" s="26" t="s">
        <v>429</v>
      </c>
      <c r="E31" s="100">
        <v>12</v>
      </c>
      <c r="F31" s="370">
        <v>151.28399999999999</v>
      </c>
      <c r="G31" s="370">
        <v>100.85600000000001</v>
      </c>
      <c r="H31" s="370">
        <f t="shared" si="11"/>
        <v>252.14</v>
      </c>
      <c r="I31" s="370">
        <f>H31*(1+'BDI - INFRAESTRUTURA'!$C$23)</f>
        <v>292.10419000000002</v>
      </c>
      <c r="J31" s="370">
        <f t="shared" si="12"/>
        <v>1815.4079999999999</v>
      </c>
      <c r="K31" s="370">
        <f t="shared" si="13"/>
        <v>1210.2720000000002</v>
      </c>
      <c r="L31" s="371">
        <f t="shared" si="14"/>
        <v>3025.68</v>
      </c>
      <c r="M31" s="371">
        <f t="shared" si="15"/>
        <v>3505.2502800000002</v>
      </c>
      <c r="N31" s="397">
        <f t="shared" si="16"/>
        <v>1.0422417023737127E-2</v>
      </c>
      <c r="O31" s="575"/>
      <c r="P31" s="367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</row>
    <row r="32" spans="1:28" s="33" customFormat="1">
      <c r="A32" s="24"/>
      <c r="B32" s="24" t="s">
        <v>520</v>
      </c>
      <c r="C32" s="25" t="s">
        <v>1043</v>
      </c>
      <c r="D32" s="26" t="s">
        <v>214</v>
      </c>
      <c r="E32" s="100">
        <f>E28*0.5*1.1</f>
        <v>138.68800000000002</v>
      </c>
      <c r="F32" s="370">
        <v>10.25</v>
      </c>
      <c r="G32" s="370">
        <v>26.85</v>
      </c>
      <c r="H32" s="370">
        <f t="shared" si="11"/>
        <v>37.1</v>
      </c>
      <c r="I32" s="370">
        <f>H32*(1+'BDI - INFRAESTRUTURA'!$C$23)</f>
        <v>42.980350000000001</v>
      </c>
      <c r="J32" s="370">
        <f t="shared" si="12"/>
        <v>1421.5520000000001</v>
      </c>
      <c r="K32" s="370">
        <f t="shared" si="13"/>
        <v>3723.7728000000006</v>
      </c>
      <c r="L32" s="371">
        <f t="shared" si="14"/>
        <v>5145.3248000000012</v>
      </c>
      <c r="M32" s="371">
        <f t="shared" si="15"/>
        <v>5960.8587808000011</v>
      </c>
      <c r="N32" s="397">
        <f t="shared" si="16"/>
        <v>1.7723857376912573E-2</v>
      </c>
      <c r="O32" s="575"/>
      <c r="P32" s="367"/>
    </row>
    <row r="33" spans="1:28" s="19" customFormat="1">
      <c r="A33" s="24"/>
      <c r="B33" s="24" t="s">
        <v>521</v>
      </c>
      <c r="C33" s="25" t="s">
        <v>1044</v>
      </c>
      <c r="D33" s="26" t="s">
        <v>214</v>
      </c>
      <c r="E33" s="100">
        <f>E28*0.5*1.1</f>
        <v>138.68800000000002</v>
      </c>
      <c r="F33" s="370">
        <v>13.58</v>
      </c>
      <c r="G33" s="370">
        <v>19.54</v>
      </c>
      <c r="H33" s="370">
        <f t="shared" si="11"/>
        <v>33.119999999999997</v>
      </c>
      <c r="I33" s="370">
        <f>H33*(1+'BDI - INFRAESTRUTURA'!$C$23)</f>
        <v>38.369520000000001</v>
      </c>
      <c r="J33" s="370">
        <f t="shared" si="12"/>
        <v>1883.3830400000002</v>
      </c>
      <c r="K33" s="370">
        <f t="shared" si="13"/>
        <v>2709.9635200000002</v>
      </c>
      <c r="L33" s="371">
        <f t="shared" si="14"/>
        <v>4593.34656</v>
      </c>
      <c r="M33" s="371">
        <f t="shared" si="15"/>
        <v>5321.3919897600008</v>
      </c>
      <c r="N33" s="397">
        <f t="shared" si="16"/>
        <v>1.582248399793381E-2</v>
      </c>
      <c r="O33" s="575"/>
      <c r="P33" s="367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</row>
    <row r="34" spans="1:28" s="19" customFormat="1">
      <c r="A34" s="375" t="s">
        <v>77</v>
      </c>
      <c r="B34" s="375"/>
      <c r="C34" s="376" t="s">
        <v>519</v>
      </c>
      <c r="D34" s="377"/>
      <c r="E34" s="378"/>
      <c r="F34" s="378"/>
      <c r="G34" s="378"/>
      <c r="H34" s="378"/>
      <c r="I34" s="378"/>
      <c r="J34" s="378"/>
      <c r="K34" s="378"/>
      <c r="L34" s="379"/>
      <c r="M34" s="379"/>
      <c r="N34" s="399"/>
      <c r="O34" s="575"/>
      <c r="P34" s="363">
        <f>SUM(M35:M40)</f>
        <v>151542.89765508129</v>
      </c>
      <c r="Q34" s="439">
        <v>151542.89765508129</v>
      </c>
      <c r="Y34" s="367"/>
      <c r="Z34" s="263">
        <f>SUM(Z35:Z51)</f>
        <v>0.98000000000000009</v>
      </c>
      <c r="AA34" s="33"/>
      <c r="AB34" s="33"/>
    </row>
    <row r="35" spans="1:28" s="19" customFormat="1" ht="25.5">
      <c r="A35" s="261"/>
      <c r="B35" s="261" t="s">
        <v>78</v>
      </c>
      <c r="C35" s="25" t="s">
        <v>523</v>
      </c>
      <c r="D35" s="26" t="s">
        <v>218</v>
      </c>
      <c r="E35" s="100">
        <v>571.67999999999995</v>
      </c>
      <c r="F35" s="370">
        <v>11.25</v>
      </c>
      <c r="G35" s="370">
        <v>14.68</v>
      </c>
      <c r="H35" s="370">
        <f t="shared" ref="H35:H39" si="17">F35+G35</f>
        <v>25.93</v>
      </c>
      <c r="I35" s="370">
        <f>H35*(1+'BDI - INFRAESTRUTURA'!$C$23)</f>
        <v>30.039905000000001</v>
      </c>
      <c r="J35" s="370">
        <f t="shared" ref="J35:J39" si="18">E35*F35</f>
        <v>6431.4</v>
      </c>
      <c r="K35" s="370">
        <f t="shared" ref="K35:K39" si="19">E35*G35</f>
        <v>8392.2623999999996</v>
      </c>
      <c r="L35" s="371">
        <f t="shared" ref="L35:L39" si="20">H35*E35</f>
        <v>14823.662399999999</v>
      </c>
      <c r="M35" s="371">
        <f t="shared" ref="M35:M39" si="21">I35*E35</f>
        <v>17173.212890399998</v>
      </c>
      <c r="N35" s="397">
        <f>M35/$M$47</f>
        <v>5.1062369897640174E-2</v>
      </c>
      <c r="O35" s="575"/>
      <c r="Y35" s="529" t="s">
        <v>851</v>
      </c>
      <c r="Z35" s="19">
        <v>0.15</v>
      </c>
      <c r="AA35" s="19">
        <f>Z35*$N$39*100</f>
        <v>5.4490682729934443</v>
      </c>
      <c r="AB35" s="33"/>
    </row>
    <row r="36" spans="1:28" s="19" customFormat="1" ht="25.5">
      <c r="A36" s="261"/>
      <c r="B36" s="261" t="s">
        <v>79</v>
      </c>
      <c r="C36" s="25" t="s">
        <v>1035</v>
      </c>
      <c r="D36" s="26" t="s">
        <v>218</v>
      </c>
      <c r="E36" s="100">
        <v>275.36</v>
      </c>
      <c r="F36" s="370">
        <v>5.47</v>
      </c>
      <c r="G36" s="370">
        <v>12.6</v>
      </c>
      <c r="H36" s="370">
        <f t="shared" ref="H36:H38" si="22">F36+G36</f>
        <v>18.07</v>
      </c>
      <c r="I36" s="370">
        <f>H36*(1+'BDI - INFRAESTRUTURA'!$C$23)</f>
        <v>20.934095000000003</v>
      </c>
      <c r="J36" s="370">
        <f t="shared" ref="J36:J38" si="23">E36*F36</f>
        <v>1506.2192</v>
      </c>
      <c r="K36" s="370">
        <f t="shared" ref="K36:K38" si="24">E36*G36</f>
        <v>3469.5360000000001</v>
      </c>
      <c r="L36" s="371">
        <f t="shared" ref="L36:L38" si="25">H36*E36</f>
        <v>4975.7552000000005</v>
      </c>
      <c r="M36" s="371">
        <f t="shared" ref="M36:M38" si="26">I36*E36</f>
        <v>5764.4123992000013</v>
      </c>
      <c r="N36" s="397">
        <f t="shared" ref="N36:N38" si="27">M36/$M$47</f>
        <v>1.7139748982849652E-2</v>
      </c>
      <c r="O36" s="575"/>
      <c r="Y36" s="529"/>
      <c r="AB36" s="33"/>
    </row>
    <row r="37" spans="1:28" s="19" customFormat="1">
      <c r="A37" s="261"/>
      <c r="B37" s="261" t="s">
        <v>80</v>
      </c>
      <c r="C37" s="25" t="s">
        <v>1036</v>
      </c>
      <c r="D37" s="26" t="s">
        <v>693</v>
      </c>
      <c r="E37" s="100">
        <v>1</v>
      </c>
      <c r="F37" s="370">
        <v>1225</v>
      </c>
      <c r="G37" s="370">
        <f>120*2.5/42</f>
        <v>7.1428571428571432</v>
      </c>
      <c r="H37" s="370">
        <f t="shared" si="22"/>
        <v>1232.1428571428571</v>
      </c>
      <c r="I37" s="370">
        <f>H37*(1+'BDI - INFRAESTRUTURA'!$C$23)</f>
        <v>1427.4375</v>
      </c>
      <c r="J37" s="370">
        <f t="shared" si="23"/>
        <v>1225</v>
      </c>
      <c r="K37" s="370">
        <f t="shared" si="24"/>
        <v>7.1428571428571432</v>
      </c>
      <c r="L37" s="371">
        <f t="shared" si="25"/>
        <v>1232.1428571428571</v>
      </c>
      <c r="M37" s="371">
        <f t="shared" si="26"/>
        <v>1427.4375</v>
      </c>
      <c r="N37" s="397">
        <f t="shared" si="27"/>
        <v>4.2443043183554826E-3</v>
      </c>
      <c r="O37" s="575"/>
      <c r="Y37" s="529"/>
      <c r="AB37" s="33"/>
    </row>
    <row r="38" spans="1:28" s="19" customFormat="1">
      <c r="A38" s="261"/>
      <c r="B38" s="261" t="s">
        <v>1037</v>
      </c>
      <c r="C38" s="25" t="s">
        <v>524</v>
      </c>
      <c r="D38" s="26" t="s">
        <v>693</v>
      </c>
      <c r="E38" s="100">
        <v>42</v>
      </c>
      <c r="F38" s="370">
        <v>95.68</v>
      </c>
      <c r="G38" s="370">
        <f>120*2.5/42</f>
        <v>7.1428571428571432</v>
      </c>
      <c r="H38" s="370">
        <f t="shared" si="22"/>
        <v>102.82285714285715</v>
      </c>
      <c r="I38" s="370">
        <f>H38*(1+'BDI - INFRAESTRUTURA'!$C$23)</f>
        <v>119.12028000000001</v>
      </c>
      <c r="J38" s="370">
        <f t="shared" si="23"/>
        <v>4018.5600000000004</v>
      </c>
      <c r="K38" s="370">
        <f t="shared" si="24"/>
        <v>300</v>
      </c>
      <c r="L38" s="371">
        <f t="shared" si="25"/>
        <v>4318.5600000000004</v>
      </c>
      <c r="M38" s="371">
        <f t="shared" si="26"/>
        <v>5003.0517600000003</v>
      </c>
      <c r="N38" s="397">
        <f t="shared" si="27"/>
        <v>1.4875939710091683E-2</v>
      </c>
      <c r="O38" s="575"/>
      <c r="Y38" s="529" t="s">
        <v>852</v>
      </c>
      <c r="Z38" s="19">
        <v>0.08</v>
      </c>
      <c r="AA38" s="19">
        <f t="shared" ref="AA38:AA51" si="28">Z38*$N$39*100</f>
        <v>2.9061697455965039</v>
      </c>
      <c r="AB38" s="33"/>
    </row>
    <row r="39" spans="1:28" s="19" customFormat="1">
      <c r="A39" s="261"/>
      <c r="B39" s="261" t="s">
        <v>1038</v>
      </c>
      <c r="C39" s="25" t="s">
        <v>1034</v>
      </c>
      <c r="D39" s="26" t="s">
        <v>693</v>
      </c>
      <c r="E39" s="100">
        <v>1</v>
      </c>
      <c r="F39" s="370">
        <f>'COMPOSIÇÕES DE PREÇOS INFRA'!G10</f>
        <v>71584.458873958822</v>
      </c>
      <c r="G39" s="370">
        <f>'COMPOSIÇÕES DE PREÇOS INFRA'!H10</f>
        <v>33875</v>
      </c>
      <c r="H39" s="370">
        <f t="shared" si="17"/>
        <v>105459.45887395882</v>
      </c>
      <c r="I39" s="370">
        <f>H39*(1+'BDI - INFRAESTRUTURA'!$C$23)</f>
        <v>122174.7831054813</v>
      </c>
      <c r="J39" s="370">
        <f t="shared" si="18"/>
        <v>71584.458873958822</v>
      </c>
      <c r="K39" s="370">
        <f t="shared" si="19"/>
        <v>33875</v>
      </c>
      <c r="L39" s="371">
        <f t="shared" si="20"/>
        <v>105459.45887395882</v>
      </c>
      <c r="M39" s="371">
        <f t="shared" si="21"/>
        <v>122174.7831054813</v>
      </c>
      <c r="N39" s="397">
        <f>M39/$M$47</f>
        <v>0.36327121819956298</v>
      </c>
      <c r="O39" s="575"/>
      <c r="Y39" s="529" t="s">
        <v>853</v>
      </c>
      <c r="Z39" s="19">
        <v>0.1</v>
      </c>
      <c r="AA39" s="19">
        <f t="shared" si="28"/>
        <v>3.6327121819956303</v>
      </c>
      <c r="AB39" s="33"/>
    </row>
    <row r="40" spans="1:28" s="19" customFormat="1">
      <c r="A40" s="375" t="s">
        <v>4</v>
      </c>
      <c r="B40" s="377"/>
      <c r="C40" s="376" t="s">
        <v>522</v>
      </c>
      <c r="D40" s="377"/>
      <c r="E40" s="378"/>
      <c r="F40" s="378"/>
      <c r="G40" s="378"/>
      <c r="H40" s="378"/>
      <c r="I40" s="378"/>
      <c r="J40" s="378"/>
      <c r="K40" s="378"/>
      <c r="L40" s="379"/>
      <c r="M40" s="379"/>
      <c r="N40" s="399"/>
      <c r="O40" s="575"/>
      <c r="P40" s="363">
        <f>SUM(M41:M46)</f>
        <v>104346.74913544</v>
      </c>
      <c r="Q40" s="19">
        <v>104346.74913544</v>
      </c>
      <c r="R40" s="439"/>
      <c r="Y40" s="529" t="s">
        <v>854</v>
      </c>
      <c r="Z40" s="19">
        <v>0.25</v>
      </c>
      <c r="AA40" s="19">
        <f t="shared" si="28"/>
        <v>9.0817804549890742</v>
      </c>
      <c r="AB40" s="33"/>
    </row>
    <row r="41" spans="1:28" s="19" customFormat="1" ht="25.5">
      <c r="A41" s="261"/>
      <c r="B41" s="261" t="s">
        <v>81</v>
      </c>
      <c r="C41" s="25" t="s">
        <v>1045</v>
      </c>
      <c r="D41" s="26" t="s">
        <v>218</v>
      </c>
      <c r="E41" s="100">
        <f>E42+E43</f>
        <v>587.6</v>
      </c>
      <c r="F41" s="370">
        <v>15</v>
      </c>
      <c r="G41" s="370">
        <v>63.36</v>
      </c>
      <c r="H41" s="370">
        <f t="shared" ref="H41" si="29">F41+G41</f>
        <v>78.36</v>
      </c>
      <c r="I41" s="370">
        <f>H41*(1+'BDI - INFRAESTRUTURA'!$C$23)</f>
        <v>90.780060000000006</v>
      </c>
      <c r="J41" s="370">
        <f t="shared" ref="J41" si="30">E41*F41</f>
        <v>8814</v>
      </c>
      <c r="K41" s="370">
        <f t="shared" ref="K41" si="31">E41*G41</f>
        <v>37230.336000000003</v>
      </c>
      <c r="L41" s="371">
        <f t="shared" ref="L41" si="32">H41*E41</f>
        <v>46044.336000000003</v>
      </c>
      <c r="M41" s="371">
        <f t="shared" ref="M41" si="33">I41*E41</f>
        <v>53342.363256000004</v>
      </c>
      <c r="N41" s="397">
        <f>M41/$M$47</f>
        <v>0.15860675001093053</v>
      </c>
      <c r="O41" s="575"/>
      <c r="Y41" s="529" t="s">
        <v>855</v>
      </c>
      <c r="Z41" s="19">
        <v>0.1</v>
      </c>
      <c r="AA41" s="19">
        <f t="shared" si="28"/>
        <v>3.6327121819956303</v>
      </c>
      <c r="AB41" s="33"/>
    </row>
    <row r="42" spans="1:28" s="19" customFormat="1">
      <c r="A42" s="261"/>
      <c r="B42" s="261" t="s">
        <v>82</v>
      </c>
      <c r="C42" s="25" t="s">
        <v>1046</v>
      </c>
      <c r="D42" s="26" t="s">
        <v>218</v>
      </c>
      <c r="E42" s="100">
        <v>498</v>
      </c>
      <c r="F42" s="370">
        <f>1.2*154/6</f>
        <v>30.799999999999997</v>
      </c>
      <c r="G42" s="370">
        <v>16.5</v>
      </c>
      <c r="H42" s="370">
        <f t="shared" ref="H42:H46" si="34">F42+G42</f>
        <v>47.3</v>
      </c>
      <c r="I42" s="370">
        <f>H42*(1+'BDI - INFRAESTRUTURA'!$C$23)</f>
        <v>54.797049999999999</v>
      </c>
      <c r="J42" s="370">
        <f t="shared" ref="J42:J46" si="35">E42*F42</f>
        <v>15338.399999999998</v>
      </c>
      <c r="K42" s="370">
        <f t="shared" ref="K42:K46" si="36">E42*G42</f>
        <v>8217</v>
      </c>
      <c r="L42" s="371">
        <f t="shared" ref="L42:L46" si="37">H42*E42</f>
        <v>23555.399999999998</v>
      </c>
      <c r="M42" s="371">
        <f t="shared" ref="M42:M46" si="38">I42*E42</f>
        <v>27288.930899999999</v>
      </c>
      <c r="N42" s="397">
        <f t="shared" ref="N42:N46" si="39">M42/$M$47</f>
        <v>8.1140174096711315E-2</v>
      </c>
      <c r="O42" s="575"/>
      <c r="Y42" s="529"/>
      <c r="AB42" s="33"/>
    </row>
    <row r="43" spans="1:28" s="19" customFormat="1">
      <c r="A43" s="261"/>
      <c r="B43" s="261" t="s">
        <v>1050</v>
      </c>
      <c r="C43" s="25" t="s">
        <v>1047</v>
      </c>
      <c r="D43" s="26" t="s">
        <v>218</v>
      </c>
      <c r="E43" s="100">
        <v>89.6</v>
      </c>
      <c r="F43" s="370">
        <f>1.23*233.23/6</f>
        <v>47.812149999999995</v>
      </c>
      <c r="G43" s="370">
        <v>17.45</v>
      </c>
      <c r="H43" s="370">
        <f t="shared" si="34"/>
        <v>65.262149999999991</v>
      </c>
      <c r="I43" s="370">
        <f>H43*(1+'BDI - INFRAESTRUTURA'!$C$23)</f>
        <v>75.606200774999991</v>
      </c>
      <c r="J43" s="370">
        <f t="shared" si="35"/>
        <v>4283.9686399999991</v>
      </c>
      <c r="K43" s="370">
        <f t="shared" si="36"/>
        <v>1563.5199999999998</v>
      </c>
      <c r="L43" s="371">
        <f t="shared" si="37"/>
        <v>5847.4886399999987</v>
      </c>
      <c r="M43" s="371">
        <f t="shared" si="38"/>
        <v>6774.3155894399988</v>
      </c>
      <c r="N43" s="397">
        <f t="shared" si="39"/>
        <v>2.0142568000464506E-2</v>
      </c>
      <c r="O43" s="575"/>
      <c r="Y43" s="529"/>
      <c r="AB43" s="33"/>
    </row>
    <row r="44" spans="1:28" s="19" customFormat="1">
      <c r="A44" s="261"/>
      <c r="B44" s="261" t="s">
        <v>1051</v>
      </c>
      <c r="C44" s="25" t="s">
        <v>1048</v>
      </c>
      <c r="D44" s="26" t="s">
        <v>693</v>
      </c>
      <c r="E44" s="100">
        <v>40</v>
      </c>
      <c r="F44" s="370">
        <v>76</v>
      </c>
      <c r="G44" s="370">
        <v>32</v>
      </c>
      <c r="H44" s="370">
        <f t="shared" si="34"/>
        <v>108</v>
      </c>
      <c r="I44" s="370">
        <f>H44*(1+'BDI - INFRAESTRUTURA'!$C$23)</f>
        <v>125.11800000000001</v>
      </c>
      <c r="J44" s="370">
        <f t="shared" si="35"/>
        <v>3040</v>
      </c>
      <c r="K44" s="370">
        <f t="shared" si="36"/>
        <v>1280</v>
      </c>
      <c r="L44" s="371">
        <f t="shared" si="37"/>
        <v>4320</v>
      </c>
      <c r="M44" s="371">
        <f t="shared" si="38"/>
        <v>5004.72</v>
      </c>
      <c r="N44" s="397">
        <f t="shared" si="39"/>
        <v>1.4880900010095049E-2</v>
      </c>
      <c r="O44" s="575"/>
      <c r="Y44" s="529"/>
      <c r="AB44" s="33"/>
    </row>
    <row r="45" spans="1:28" s="19" customFormat="1">
      <c r="A45" s="261"/>
      <c r="B45" s="261" t="s">
        <v>1052</v>
      </c>
      <c r="C45" s="25" t="s">
        <v>1049</v>
      </c>
      <c r="D45" s="26" t="s">
        <v>693</v>
      </c>
      <c r="E45" s="100">
        <v>2</v>
      </c>
      <c r="F45" s="370">
        <v>45.5</v>
      </c>
      <c r="G45" s="370">
        <v>25</v>
      </c>
      <c r="H45" s="370">
        <f t="shared" si="34"/>
        <v>70.5</v>
      </c>
      <c r="I45" s="370">
        <f>H45*(1+'BDI - INFRAESTRUTURA'!$C$23)</f>
        <v>81.674250000000001</v>
      </c>
      <c r="J45" s="370">
        <f t="shared" si="35"/>
        <v>91</v>
      </c>
      <c r="K45" s="370">
        <f t="shared" si="36"/>
        <v>50</v>
      </c>
      <c r="L45" s="371">
        <f t="shared" si="37"/>
        <v>141</v>
      </c>
      <c r="M45" s="371">
        <f t="shared" si="38"/>
        <v>163.3485</v>
      </c>
      <c r="N45" s="397">
        <f t="shared" si="39"/>
        <v>4.8569604199615783E-4</v>
      </c>
      <c r="O45" s="575"/>
      <c r="Y45" s="529"/>
      <c r="AB45" s="33"/>
    </row>
    <row r="46" spans="1:28" s="19" customFormat="1" ht="25.5">
      <c r="A46" s="261"/>
      <c r="B46" s="261" t="s">
        <v>1053</v>
      </c>
      <c r="C46" s="25" t="s">
        <v>525</v>
      </c>
      <c r="D46" s="26" t="s">
        <v>693</v>
      </c>
      <c r="E46" s="100">
        <v>8</v>
      </c>
      <c r="F46" s="370">
        <f>1.15*712.17</f>
        <v>818.99549999999988</v>
      </c>
      <c r="G46" s="370">
        <f>410.27*1.1</f>
        <v>451.29700000000003</v>
      </c>
      <c r="H46" s="370">
        <f t="shared" si="34"/>
        <v>1270.2925</v>
      </c>
      <c r="I46" s="370">
        <f>H46*(1+'BDI - INFRAESTRUTURA'!$C$23)</f>
        <v>1471.6338612500001</v>
      </c>
      <c r="J46" s="370">
        <f t="shared" si="35"/>
        <v>6551.963999999999</v>
      </c>
      <c r="K46" s="370">
        <f t="shared" si="36"/>
        <v>3610.3760000000002</v>
      </c>
      <c r="L46" s="371">
        <f t="shared" si="37"/>
        <v>10162.34</v>
      </c>
      <c r="M46" s="371">
        <f t="shared" si="38"/>
        <v>11773.070890000001</v>
      </c>
      <c r="N46" s="397">
        <f t="shared" si="39"/>
        <v>3.5005732733469748E-2</v>
      </c>
      <c r="O46" s="575"/>
      <c r="Y46" s="529"/>
      <c r="AB46" s="33"/>
    </row>
    <row r="47" spans="1:28" s="19" customFormat="1" ht="15.75">
      <c r="A47" s="264"/>
      <c r="B47" s="56"/>
      <c r="C47" s="158" t="s">
        <v>220</v>
      </c>
      <c r="D47" s="56"/>
      <c r="E47" s="265"/>
      <c r="F47" s="373"/>
      <c r="G47" s="373"/>
      <c r="H47" s="373"/>
      <c r="I47" s="373"/>
      <c r="J47" s="373"/>
      <c r="K47" s="373"/>
      <c r="L47" s="374"/>
      <c r="M47" s="372">
        <f>SUM(M28:M46)</f>
        <v>336318.36761249992</v>
      </c>
      <c r="N47" s="398">
        <f>M47/$M$114</f>
        <v>0.32260134154270209</v>
      </c>
      <c r="O47" s="576"/>
      <c r="P47" s="275">
        <v>336318.36761249998</v>
      </c>
      <c r="Q47" s="39" t="str">
        <f>IF(P47=M47,"BOA GAROTO","FAZ BATER")</f>
        <v>BOA GAROTO</v>
      </c>
      <c r="R47" s="439"/>
      <c r="Y47" s="529" t="s">
        <v>856</v>
      </c>
      <c r="Z47" s="19">
        <v>0.05</v>
      </c>
      <c r="AA47" s="19">
        <f t="shared" si="28"/>
        <v>1.8163560909978151</v>
      </c>
      <c r="AB47" s="33"/>
    </row>
    <row r="48" spans="1:28" s="19" customFormat="1">
      <c r="A48" s="380">
        <v>4</v>
      </c>
      <c r="B48" s="380"/>
      <c r="C48" s="381" t="s">
        <v>505</v>
      </c>
      <c r="D48" s="382"/>
      <c r="E48" s="383"/>
      <c r="F48" s="383"/>
      <c r="G48" s="383"/>
      <c r="H48" s="383"/>
      <c r="I48" s="383"/>
      <c r="J48" s="383"/>
      <c r="K48" s="383"/>
      <c r="L48" s="384"/>
      <c r="M48" s="384"/>
      <c r="N48" s="395"/>
      <c r="O48" s="396"/>
      <c r="Y48" s="529" t="s">
        <v>857</v>
      </c>
      <c r="Z48" s="19">
        <v>0.05</v>
      </c>
      <c r="AA48" s="19">
        <f t="shared" si="28"/>
        <v>1.8163560909978151</v>
      </c>
      <c r="AB48" s="33"/>
    </row>
    <row r="49" spans="1:28" s="19" customFormat="1">
      <c r="A49" s="24"/>
      <c r="B49" s="24" t="s">
        <v>5</v>
      </c>
      <c r="C49" s="25" t="s">
        <v>504</v>
      </c>
      <c r="D49" s="26" t="s">
        <v>212</v>
      </c>
      <c r="E49" s="100">
        <f t="shared" ref="E49:E51" si="40">931+1044</f>
        <v>1975</v>
      </c>
      <c r="F49" s="370">
        <v>8.5</v>
      </c>
      <c r="G49" s="370">
        <v>12</v>
      </c>
      <c r="H49" s="370">
        <f t="shared" ref="H49:H56" si="41">F49+G49</f>
        <v>20.5</v>
      </c>
      <c r="I49" s="370">
        <f>H49*(1+'BDI - INFRAESTRUTURA'!$C$23)</f>
        <v>23.749250000000004</v>
      </c>
      <c r="J49" s="370">
        <f t="shared" ref="J49:J56" si="42">E49*F49</f>
        <v>16787.5</v>
      </c>
      <c r="K49" s="370">
        <f t="shared" ref="K49:K56" si="43">E49*G49</f>
        <v>23700</v>
      </c>
      <c r="L49" s="371">
        <f t="shared" ref="L49:L56" si="44">H49*E49</f>
        <v>40487.5</v>
      </c>
      <c r="M49" s="371">
        <f t="shared" ref="M49:M56" si="45">I49*E49</f>
        <v>46904.76875000001</v>
      </c>
      <c r="N49" s="397">
        <f>M49/$M$57</f>
        <v>0.27788720492063407</v>
      </c>
      <c r="O49" s="574">
        <f>M57/$M$115</f>
        <v>4.7300175000000055E-2</v>
      </c>
      <c r="Y49" s="529" t="s">
        <v>858</v>
      </c>
      <c r="Z49" s="19">
        <v>0.1</v>
      </c>
      <c r="AA49" s="19">
        <f t="shared" si="28"/>
        <v>3.6327121819956303</v>
      </c>
      <c r="AB49" s="33"/>
    </row>
    <row r="50" spans="1:28" s="19" customFormat="1">
      <c r="A50" s="24"/>
      <c r="B50" s="24" t="s">
        <v>9</v>
      </c>
      <c r="C50" s="403" t="s">
        <v>502</v>
      </c>
      <c r="D50" s="26" t="s">
        <v>214</v>
      </c>
      <c r="E50" s="100">
        <f>(931+1044)*0.1</f>
        <v>197.5</v>
      </c>
      <c r="F50" s="370">
        <v>65.2</v>
      </c>
      <c r="G50" s="370">
        <f>F50*0.8</f>
        <v>52.160000000000004</v>
      </c>
      <c r="H50" s="370">
        <f t="shared" si="41"/>
        <v>117.36000000000001</v>
      </c>
      <c r="I50" s="370">
        <f>H50*(1+'BDI - INFRAESTRUTURA'!$C$23)</f>
        <v>135.96156000000002</v>
      </c>
      <c r="J50" s="370">
        <f t="shared" si="42"/>
        <v>12877</v>
      </c>
      <c r="K50" s="370">
        <f t="shared" si="43"/>
        <v>10301.6</v>
      </c>
      <c r="L50" s="371">
        <f t="shared" si="44"/>
        <v>23178.600000000002</v>
      </c>
      <c r="M50" s="371">
        <f t="shared" si="45"/>
        <v>26852.408100000004</v>
      </c>
      <c r="N50" s="397">
        <f>M50/$M$57</f>
        <v>0.15908703594871032</v>
      </c>
      <c r="O50" s="575"/>
      <c r="Y50" s="529" t="s">
        <v>859</v>
      </c>
      <c r="Z50" s="19">
        <v>0.05</v>
      </c>
      <c r="AA50" s="19">
        <f t="shared" si="28"/>
        <v>1.8163560909978151</v>
      </c>
      <c r="AB50" s="33"/>
    </row>
    <row r="51" spans="1:28" s="19" customFormat="1">
      <c r="A51" s="24"/>
      <c r="B51" s="24" t="s">
        <v>432</v>
      </c>
      <c r="C51" s="25" t="s">
        <v>503</v>
      </c>
      <c r="D51" s="26" t="s">
        <v>212</v>
      </c>
      <c r="E51" s="100">
        <f t="shared" si="40"/>
        <v>1975</v>
      </c>
      <c r="F51" s="370">
        <v>4.04</v>
      </c>
      <c r="G51" s="370">
        <v>12.36</v>
      </c>
      <c r="H51" s="370">
        <f t="shared" si="41"/>
        <v>16.399999999999999</v>
      </c>
      <c r="I51" s="370">
        <f>H51*(1+'BDI - INFRAESTRUTURA'!$C$23)</f>
        <v>18.999400000000001</v>
      </c>
      <c r="J51" s="370">
        <f t="shared" si="42"/>
        <v>7979</v>
      </c>
      <c r="K51" s="370">
        <f t="shared" si="43"/>
        <v>24411</v>
      </c>
      <c r="L51" s="371">
        <f t="shared" si="44"/>
        <v>32389.999999999996</v>
      </c>
      <c r="M51" s="371">
        <f t="shared" si="45"/>
        <v>37523.815000000002</v>
      </c>
      <c r="N51" s="397">
        <f>M51/$M$57</f>
        <v>0.22230976393650723</v>
      </c>
      <c r="O51" s="575"/>
      <c r="Y51" s="529" t="s">
        <v>860</v>
      </c>
      <c r="Z51" s="19">
        <v>0.05</v>
      </c>
      <c r="AA51" s="19">
        <f t="shared" si="28"/>
        <v>1.8163560909978151</v>
      </c>
      <c r="AB51" s="33"/>
    </row>
    <row r="52" spans="1:28" s="33" customFormat="1">
      <c r="A52" s="24"/>
      <c r="B52" s="24" t="s">
        <v>433</v>
      </c>
      <c r="C52" s="25" t="s">
        <v>1133</v>
      </c>
      <c r="D52" s="26" t="s">
        <v>212</v>
      </c>
      <c r="E52" s="100">
        <f>931</f>
        <v>931</v>
      </c>
      <c r="F52" s="370">
        <v>7.5</v>
      </c>
      <c r="G52" s="370">
        <v>5.1349223494024701</v>
      </c>
      <c r="H52" s="370">
        <f t="shared" si="41"/>
        <v>12.634922349402469</v>
      </c>
      <c r="I52" s="370">
        <f>H52*(1+'BDI - INFRAESTRUTURA'!$C$23)</f>
        <v>14.637557541782762</v>
      </c>
      <c r="J52" s="370">
        <f t="shared" si="42"/>
        <v>6982.5</v>
      </c>
      <c r="K52" s="370">
        <f t="shared" si="43"/>
        <v>4780.6127072936997</v>
      </c>
      <c r="L52" s="371">
        <f t="shared" si="44"/>
        <v>11763.112707293698</v>
      </c>
      <c r="M52" s="371">
        <f t="shared" si="45"/>
        <v>13627.566071399751</v>
      </c>
      <c r="N52" s="397">
        <f>M52/$M$57</f>
        <v>8.0736486851404471E-2</v>
      </c>
      <c r="O52" s="575"/>
      <c r="P52" s="369"/>
      <c r="Q52" s="19"/>
      <c r="R52" s="19"/>
      <c r="S52" s="19"/>
      <c r="T52" s="19"/>
      <c r="U52" s="19"/>
      <c r="V52" s="19"/>
      <c r="W52" s="19"/>
    </row>
    <row r="53" spans="1:28" s="33" customFormat="1" ht="25.5">
      <c r="A53" s="24"/>
      <c r="B53" s="24" t="s">
        <v>481</v>
      </c>
      <c r="C53" s="25" t="s">
        <v>1134</v>
      </c>
      <c r="D53" s="26" t="s">
        <v>212</v>
      </c>
      <c r="E53" s="100">
        <f>1044</f>
        <v>1044</v>
      </c>
      <c r="F53" s="370">
        <v>7</v>
      </c>
      <c r="G53" s="370">
        <v>5.1349223494024701</v>
      </c>
      <c r="H53" s="370">
        <f t="shared" ref="H53:H55" si="46">F53+G53</f>
        <v>12.134922349402469</v>
      </c>
      <c r="I53" s="370">
        <f>H53*(1+'BDI - INFRAESTRUTURA'!$C$23)</f>
        <v>14.058307541782762</v>
      </c>
      <c r="J53" s="370">
        <f t="shared" ref="J53:J55" si="47">E53*F53</f>
        <v>7308</v>
      </c>
      <c r="K53" s="370">
        <f t="shared" ref="K53:K55" si="48">E53*G53</f>
        <v>5360.8589327761783</v>
      </c>
      <c r="L53" s="371">
        <f t="shared" ref="L53:L55" si="49">H53*E53</f>
        <v>12668.858932776178</v>
      </c>
      <c r="M53" s="371">
        <f t="shared" ref="M53:M55" si="50">I53*E53</f>
        <v>14676.873073621204</v>
      </c>
      <c r="N53" s="397">
        <f t="shared" ref="N53:N55" si="51">M53/$M$57</f>
        <v>8.6953104004025422E-2</v>
      </c>
      <c r="O53" s="575"/>
      <c r="P53" s="369"/>
      <c r="Q53" s="19"/>
      <c r="R53" s="19"/>
      <c r="S53" s="19"/>
      <c r="T53" s="19"/>
      <c r="U53" s="19"/>
      <c r="V53" s="19"/>
      <c r="W53" s="19"/>
    </row>
    <row r="54" spans="1:28" s="33" customFormat="1">
      <c r="A54" s="24"/>
      <c r="B54" s="24" t="s">
        <v>483</v>
      </c>
      <c r="C54" s="25" t="s">
        <v>1135</v>
      </c>
      <c r="D54" s="26" t="s">
        <v>212</v>
      </c>
      <c r="E54" s="100">
        <v>171.17</v>
      </c>
      <c r="F54" s="370">
        <v>56.139785710463272</v>
      </c>
      <c r="G54" s="370">
        <f>F54*0.75</f>
        <v>42.10483928284745</v>
      </c>
      <c r="H54" s="370">
        <f t="shared" si="46"/>
        <v>98.244624993310723</v>
      </c>
      <c r="I54" s="370">
        <f>H54*(1+'BDI - INFRAESTRUTURA'!$C$23)</f>
        <v>113.81639805475048</v>
      </c>
      <c r="J54" s="370">
        <f t="shared" si="47"/>
        <v>9609.4471200599983</v>
      </c>
      <c r="K54" s="370">
        <f t="shared" si="48"/>
        <v>7207.0853400449978</v>
      </c>
      <c r="L54" s="371">
        <f t="shared" si="49"/>
        <v>16816.532460104994</v>
      </c>
      <c r="M54" s="371">
        <f t="shared" si="50"/>
        <v>19481.952855031639</v>
      </c>
      <c r="N54" s="397">
        <f t="shared" si="51"/>
        <v>0.11542078917680003</v>
      </c>
      <c r="O54" s="575"/>
      <c r="P54" s="369"/>
      <c r="Q54" s="19"/>
      <c r="R54" s="19"/>
      <c r="S54" s="19"/>
      <c r="T54" s="19"/>
      <c r="U54" s="19"/>
      <c r="V54" s="19"/>
      <c r="W54" s="19"/>
    </row>
    <row r="55" spans="1:28" s="33" customFormat="1">
      <c r="A55" s="24"/>
      <c r="B55" s="24" t="s">
        <v>689</v>
      </c>
      <c r="C55" s="25" t="s">
        <v>1136</v>
      </c>
      <c r="D55" s="26" t="s">
        <v>212</v>
      </c>
      <c r="E55" s="100">
        <v>168.5</v>
      </c>
      <c r="F55" s="370">
        <v>3.2</v>
      </c>
      <c r="G55" s="370">
        <v>1.5</v>
      </c>
      <c r="H55" s="370">
        <f t="shared" si="46"/>
        <v>4.7</v>
      </c>
      <c r="I55" s="370">
        <f>H55*(1+'BDI - INFRAESTRUTURA'!$C$23)</f>
        <v>5.4449500000000004</v>
      </c>
      <c r="J55" s="370">
        <f t="shared" si="47"/>
        <v>539.20000000000005</v>
      </c>
      <c r="K55" s="370">
        <f t="shared" si="48"/>
        <v>252.75</v>
      </c>
      <c r="L55" s="371">
        <f t="shared" si="49"/>
        <v>791.95</v>
      </c>
      <c r="M55" s="371">
        <f t="shared" si="50"/>
        <v>917.47407500000008</v>
      </c>
      <c r="N55" s="397">
        <f t="shared" si="51"/>
        <v>5.4355732494447955E-3</v>
      </c>
      <c r="O55" s="575"/>
      <c r="P55" s="369"/>
      <c r="Q55" s="19"/>
      <c r="R55" s="19"/>
      <c r="S55" s="19"/>
      <c r="T55" s="19"/>
      <c r="U55" s="19"/>
      <c r="V55" s="19"/>
      <c r="W55" s="19"/>
    </row>
    <row r="56" spans="1:28" s="19" customFormat="1">
      <c r="A56" s="24"/>
      <c r="B56" s="24" t="s">
        <v>690</v>
      </c>
      <c r="C56" s="25" t="s">
        <v>434</v>
      </c>
      <c r="D56" s="26" t="s">
        <v>218</v>
      </c>
      <c r="E56" s="100">
        <v>501</v>
      </c>
      <c r="F56" s="370">
        <v>5.2817567238377094</v>
      </c>
      <c r="G56" s="370">
        <v>9.89</v>
      </c>
      <c r="H56" s="370">
        <f t="shared" si="41"/>
        <v>15.17175672383771</v>
      </c>
      <c r="I56" s="370">
        <f>H56*(1+'BDI - INFRAESTRUTURA'!$C$23)</f>
        <v>17.576480164565989</v>
      </c>
      <c r="J56" s="370">
        <f t="shared" si="42"/>
        <v>2646.1601186426924</v>
      </c>
      <c r="K56" s="370">
        <f t="shared" si="43"/>
        <v>4954.8900000000003</v>
      </c>
      <c r="L56" s="371">
        <f t="shared" si="44"/>
        <v>7601.0501186426927</v>
      </c>
      <c r="M56" s="371">
        <f t="shared" si="45"/>
        <v>8805.8165624475605</v>
      </c>
      <c r="N56" s="397">
        <f>M56/$M$57</f>
        <v>5.2170041912473528E-2</v>
      </c>
      <c r="O56" s="575"/>
      <c r="P56" s="368"/>
      <c r="Y56" s="33"/>
      <c r="Z56" s="33"/>
      <c r="AA56" s="33"/>
      <c r="AB56" s="33"/>
    </row>
    <row r="57" spans="1:28" s="19" customFormat="1" ht="15.75">
      <c r="A57" s="264"/>
      <c r="B57" s="56"/>
      <c r="C57" s="158" t="s">
        <v>220</v>
      </c>
      <c r="D57" s="56"/>
      <c r="E57" s="265"/>
      <c r="F57" s="373"/>
      <c r="G57" s="373"/>
      <c r="H57" s="373"/>
      <c r="I57" s="373"/>
      <c r="J57" s="373"/>
      <c r="K57" s="373"/>
      <c r="L57" s="374"/>
      <c r="M57" s="372">
        <f>SUM(M49:M56)</f>
        <v>168790.67448750019</v>
      </c>
      <c r="N57" s="398">
        <f>M57/$M$114</f>
        <v>0.16190640557670596</v>
      </c>
      <c r="O57" s="576"/>
      <c r="P57" s="275">
        <v>168790.67448749999</v>
      </c>
      <c r="Q57" s="39" t="str">
        <f>IF(P57=M57,"BOA GAROTO","FAZ BATER")</f>
        <v>BOA GAROTO</v>
      </c>
      <c r="Y57" s="33"/>
      <c r="Z57" s="33"/>
      <c r="AA57" s="33"/>
      <c r="AB57" s="33"/>
    </row>
    <row r="58" spans="1:28" s="19" customFormat="1">
      <c r="A58" s="380">
        <v>5</v>
      </c>
      <c r="B58" s="380"/>
      <c r="C58" s="381" t="s">
        <v>506</v>
      </c>
      <c r="D58" s="382"/>
      <c r="E58" s="383"/>
      <c r="F58" s="383"/>
      <c r="G58" s="383"/>
      <c r="H58" s="383"/>
      <c r="I58" s="383"/>
      <c r="J58" s="383"/>
      <c r="K58" s="383"/>
      <c r="L58" s="384"/>
      <c r="M58" s="384"/>
      <c r="N58" s="395"/>
      <c r="O58" s="396"/>
      <c r="Q58" s="263"/>
      <c r="R58" s="263"/>
      <c r="S58" s="263"/>
      <c r="T58" s="263"/>
      <c r="U58" s="263"/>
      <c r="V58" s="263"/>
      <c r="W58" s="263"/>
      <c r="X58" s="33"/>
      <c r="Y58" s="33"/>
      <c r="Z58" s="33"/>
      <c r="AA58" s="33"/>
      <c r="AB58" s="33"/>
    </row>
    <row r="59" spans="1:28" s="19" customFormat="1">
      <c r="A59" s="24"/>
      <c r="B59" s="24" t="s">
        <v>10</v>
      </c>
      <c r="C59" s="25" t="s">
        <v>504</v>
      </c>
      <c r="D59" s="26" t="s">
        <v>212</v>
      </c>
      <c r="E59" s="100">
        <v>129.36000000000001</v>
      </c>
      <c r="F59" s="370">
        <v>23.45</v>
      </c>
      <c r="G59" s="370">
        <v>32.520000000000003</v>
      </c>
      <c r="H59" s="370">
        <f t="shared" ref="H59:H61" si="52">F59+G59</f>
        <v>55.97</v>
      </c>
      <c r="I59" s="370">
        <f>H59*(1+'BDI - INFRAESTRUTURA'!$C$23)</f>
        <v>64.841245000000001</v>
      </c>
      <c r="J59" s="370">
        <f t="shared" ref="J59:J61" si="53">E59*F59</f>
        <v>3033.4920000000002</v>
      </c>
      <c r="K59" s="370">
        <f t="shared" ref="K59:K61" si="54">E59*G59</f>
        <v>4206.7872000000007</v>
      </c>
      <c r="L59" s="371">
        <f t="shared" ref="L59:L61" si="55">H59*E59</f>
        <v>7240.2792000000009</v>
      </c>
      <c r="M59" s="371">
        <f t="shared" ref="M59:M61" si="56">I59*E59</f>
        <v>8387.8634532000015</v>
      </c>
      <c r="N59" s="397">
        <f>M59/$M$62</f>
        <v>7.6535553049914815E-2</v>
      </c>
      <c r="O59" s="574">
        <f>M62/$M$115</f>
        <v>3.0711598821370326E-2</v>
      </c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</row>
    <row r="60" spans="1:28" s="19" customFormat="1">
      <c r="A60" s="24"/>
      <c r="B60" s="24" t="s">
        <v>15</v>
      </c>
      <c r="C60" s="25" t="s">
        <v>502</v>
      </c>
      <c r="D60" s="26" t="s">
        <v>214</v>
      </c>
      <c r="E60" s="100">
        <f>129.36*0.1</f>
        <v>12.936000000000002</v>
      </c>
      <c r="F60" s="370">
        <f>F50</f>
        <v>65.2</v>
      </c>
      <c r="G60" s="370">
        <f>G50</f>
        <v>52.160000000000004</v>
      </c>
      <c r="H60" s="370">
        <f t="shared" si="52"/>
        <v>117.36000000000001</v>
      </c>
      <c r="I60" s="370">
        <f>H60*(1+'BDI - INFRAESTRUTURA'!$C$23)</f>
        <v>135.96156000000002</v>
      </c>
      <c r="J60" s="370">
        <f t="shared" si="53"/>
        <v>843.4272000000002</v>
      </c>
      <c r="K60" s="370">
        <f t="shared" si="54"/>
        <v>674.74176000000011</v>
      </c>
      <c r="L60" s="371">
        <f t="shared" si="55"/>
        <v>1518.1689600000004</v>
      </c>
      <c r="M60" s="371">
        <f t="shared" si="56"/>
        <v>1758.7987401600005</v>
      </c>
      <c r="N60" s="397">
        <f>M60/$M$62</f>
        <v>1.6048262472642492E-2</v>
      </c>
      <c r="O60" s="575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</row>
    <row r="61" spans="1:28" s="33" customFormat="1">
      <c r="A61" s="24"/>
      <c r="B61" s="24" t="s">
        <v>84</v>
      </c>
      <c r="C61" s="25" t="s">
        <v>672</v>
      </c>
      <c r="D61" s="26" t="s">
        <v>212</v>
      </c>
      <c r="E61" s="100">
        <v>129.36000000000001</v>
      </c>
      <c r="F61" s="370">
        <v>337.71562282941443</v>
      </c>
      <c r="G61" s="370">
        <v>325.87249826353161</v>
      </c>
      <c r="H61" s="370">
        <f t="shared" si="52"/>
        <v>663.58812109294604</v>
      </c>
      <c r="I61" s="370">
        <f>H61*(1+'BDI - INFRAESTRUTURA'!$C$23)</f>
        <v>768.76683828617809</v>
      </c>
      <c r="J61" s="370">
        <f t="shared" si="53"/>
        <v>43686.892969213055</v>
      </c>
      <c r="K61" s="370">
        <f t="shared" si="54"/>
        <v>42154.866375370453</v>
      </c>
      <c r="L61" s="371">
        <f t="shared" si="55"/>
        <v>85841.759344583508</v>
      </c>
      <c r="M61" s="371">
        <f t="shared" si="56"/>
        <v>99447.678200700015</v>
      </c>
      <c r="N61" s="397">
        <f>M61/$M$62</f>
        <v>0.90741618447744277</v>
      </c>
      <c r="O61" s="575"/>
    </row>
    <row r="62" spans="1:28" s="19" customFormat="1" ht="15.75">
      <c r="A62" s="264"/>
      <c r="B62" s="56"/>
      <c r="C62" s="158" t="s">
        <v>220</v>
      </c>
      <c r="D62" s="56"/>
      <c r="E62" s="265"/>
      <c r="F62" s="373"/>
      <c r="G62" s="373"/>
      <c r="H62" s="373"/>
      <c r="I62" s="373"/>
      <c r="J62" s="373"/>
      <c r="K62" s="373"/>
      <c r="L62" s="374"/>
      <c r="M62" s="372">
        <f>SUM(M59:M61)</f>
        <v>109594.34039406001</v>
      </c>
      <c r="N62" s="398">
        <f>M62/$M$114</f>
        <v>0.10512444350748941</v>
      </c>
      <c r="O62" s="576"/>
      <c r="P62" s="5">
        <v>110860.53761249999</v>
      </c>
      <c r="Q62" s="39" t="str">
        <f>IF(P62=M62,"BOA GAROTO","FAZ BATER")</f>
        <v>FAZ BATER</v>
      </c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</row>
    <row r="63" spans="1:28" s="19" customFormat="1">
      <c r="A63" s="380">
        <v>6</v>
      </c>
      <c r="B63" s="380"/>
      <c r="C63" s="381" t="s">
        <v>397</v>
      </c>
      <c r="D63" s="382"/>
      <c r="E63" s="383"/>
      <c r="F63" s="383"/>
      <c r="G63" s="383"/>
      <c r="H63" s="383"/>
      <c r="I63" s="383"/>
      <c r="J63" s="383"/>
      <c r="K63" s="383"/>
      <c r="L63" s="384"/>
      <c r="M63" s="384"/>
      <c r="N63" s="395"/>
      <c r="O63" s="396"/>
      <c r="Q63" s="263"/>
      <c r="R63" s="263"/>
      <c r="S63" s="263"/>
      <c r="T63" s="263"/>
      <c r="U63" s="263"/>
      <c r="V63" s="263"/>
      <c r="W63" s="263"/>
      <c r="X63" s="33"/>
      <c r="Y63" s="33"/>
      <c r="Z63" s="33"/>
      <c r="AA63" s="33"/>
      <c r="AB63" s="33"/>
    </row>
    <row r="64" spans="1:28" s="19" customFormat="1" ht="25.5">
      <c r="A64" s="24"/>
      <c r="B64" s="24" t="s">
        <v>18</v>
      </c>
      <c r="C64" s="25" t="s">
        <v>1115</v>
      </c>
      <c r="D64" s="26" t="s">
        <v>693</v>
      </c>
      <c r="E64" s="100">
        <v>5</v>
      </c>
      <c r="F64" s="370">
        <v>412.3</v>
      </c>
      <c r="G64" s="370">
        <v>124</v>
      </c>
      <c r="H64" s="370">
        <f t="shared" ref="H64" si="57">F64+G64</f>
        <v>536.29999999999995</v>
      </c>
      <c r="I64" s="370">
        <f>H64*(1+'BDI - INFRAESTRUTURA'!$C$23)</f>
        <v>621.30354999999997</v>
      </c>
      <c r="J64" s="370">
        <f t="shared" ref="J64" si="58">E64*F64</f>
        <v>2061.5</v>
      </c>
      <c r="K64" s="370">
        <f t="shared" ref="K64" si="59">E64*G64</f>
        <v>620</v>
      </c>
      <c r="L64" s="371">
        <f t="shared" ref="L64" si="60">H64*E64</f>
        <v>2681.5</v>
      </c>
      <c r="M64" s="371">
        <f t="shared" ref="M64" si="61">I64*E64</f>
        <v>3106.51775</v>
      </c>
      <c r="N64" s="397">
        <f>M64/$M$88</f>
        <v>2.5566541242769171E-2</v>
      </c>
      <c r="O64" s="574">
        <f>M88/$M$115</f>
        <v>3.4049925000000002E-2</v>
      </c>
      <c r="Q64" s="506"/>
      <c r="R64" s="506"/>
      <c r="S64" s="506"/>
      <c r="T64" s="506"/>
      <c r="U64" s="506"/>
      <c r="V64" s="506"/>
      <c r="W64" s="506"/>
      <c r="X64" s="33"/>
      <c r="Y64" s="33"/>
      <c r="Z64" s="33"/>
      <c r="AA64" s="33"/>
      <c r="AB64" s="33"/>
    </row>
    <row r="65" spans="1:28" s="19" customFormat="1" ht="25.5">
      <c r="A65" s="24"/>
      <c r="B65" s="24"/>
      <c r="C65" s="25" t="s">
        <v>1114</v>
      </c>
      <c r="D65" s="26" t="s">
        <v>693</v>
      </c>
      <c r="E65" s="100">
        <v>35</v>
      </c>
      <c r="F65" s="370">
        <v>187</v>
      </c>
      <c r="G65" s="370">
        <v>40</v>
      </c>
      <c r="H65" s="370">
        <f t="shared" ref="H65:H78" si="62">F65+G65</f>
        <v>227</v>
      </c>
      <c r="I65" s="370">
        <f>H65*(1+'BDI - INFRAESTRUTURA'!$C$23)</f>
        <v>262.97950000000003</v>
      </c>
      <c r="J65" s="370">
        <f t="shared" ref="J65:J78" si="63">E65*F65</f>
        <v>6545</v>
      </c>
      <c r="K65" s="370">
        <f t="shared" ref="K65:K78" si="64">E65*G65</f>
        <v>1400</v>
      </c>
      <c r="L65" s="371">
        <f t="shared" ref="L65:L78" si="65">H65*E65</f>
        <v>7945</v>
      </c>
      <c r="M65" s="371">
        <f t="shared" ref="M65:M78" si="66">I65*E65</f>
        <v>9204.2825000000012</v>
      </c>
      <c r="N65" s="397">
        <f t="shared" ref="N65:N78" si="67">M65/$M$88</f>
        <v>7.5750949160470288E-2</v>
      </c>
      <c r="O65" s="575"/>
      <c r="Q65" s="506"/>
      <c r="R65" s="506"/>
      <c r="S65" s="506"/>
      <c r="T65" s="506"/>
      <c r="U65" s="506"/>
      <c r="V65" s="506"/>
      <c r="W65" s="506"/>
      <c r="X65" s="33"/>
      <c r="Y65" s="33"/>
      <c r="Z65" s="33"/>
      <c r="AA65" s="33"/>
      <c r="AB65" s="33"/>
    </row>
    <row r="66" spans="1:28" s="19" customFormat="1" ht="25.5">
      <c r="A66" s="24"/>
      <c r="B66" s="24"/>
      <c r="C66" s="25" t="s">
        <v>1120</v>
      </c>
      <c r="D66" s="26" t="s">
        <v>218</v>
      </c>
      <c r="E66" s="100">
        <v>116.55</v>
      </c>
      <c r="F66" s="370">
        <v>2.5</v>
      </c>
      <c r="G66" s="370">
        <f>F66*0.8</f>
        <v>2</v>
      </c>
      <c r="H66" s="370">
        <f t="shared" si="62"/>
        <v>4.5</v>
      </c>
      <c r="I66" s="370">
        <f>H66*(1+'BDI - INFRAESTRUTURA'!$C$23)</f>
        <v>5.2132500000000004</v>
      </c>
      <c r="J66" s="370">
        <f t="shared" si="63"/>
        <v>291.375</v>
      </c>
      <c r="K66" s="370">
        <f t="shared" si="64"/>
        <v>233.1</v>
      </c>
      <c r="L66" s="371">
        <f t="shared" si="65"/>
        <v>524.47500000000002</v>
      </c>
      <c r="M66" s="371">
        <f t="shared" si="66"/>
        <v>607.60428750000005</v>
      </c>
      <c r="N66" s="397">
        <f t="shared" si="67"/>
        <v>5.0005637584565957E-3</v>
      </c>
      <c r="O66" s="575"/>
      <c r="Q66" s="506"/>
      <c r="R66" s="506"/>
      <c r="S66" s="506"/>
      <c r="T66" s="506"/>
      <c r="U66" s="506"/>
      <c r="V66" s="506"/>
      <c r="W66" s="506"/>
      <c r="X66" s="33"/>
      <c r="Y66" s="33"/>
      <c r="Z66" s="33"/>
      <c r="AA66" s="33"/>
      <c r="AB66" s="33"/>
    </row>
    <row r="67" spans="1:28" s="19" customFormat="1" ht="25.5">
      <c r="A67" s="24"/>
      <c r="B67" s="24"/>
      <c r="C67" s="25" t="s">
        <v>1121</v>
      </c>
      <c r="D67" s="26" t="s">
        <v>218</v>
      </c>
      <c r="E67" s="100">
        <v>513.74</v>
      </c>
      <c r="F67" s="370">
        <v>2.2999999999999998</v>
      </c>
      <c r="G67" s="370">
        <f t="shared" ref="G67:G73" si="68">F67*0.8</f>
        <v>1.8399999999999999</v>
      </c>
      <c r="H67" s="370">
        <f t="shared" si="62"/>
        <v>4.1399999999999997</v>
      </c>
      <c r="I67" s="370">
        <f>H67*(1+'BDI - INFRAESTRUTURA'!$C$23)</f>
        <v>4.7961900000000002</v>
      </c>
      <c r="J67" s="370">
        <f t="shared" si="63"/>
        <v>1181.6019999999999</v>
      </c>
      <c r="K67" s="370">
        <f t="shared" si="64"/>
        <v>945.28159999999991</v>
      </c>
      <c r="L67" s="371">
        <f t="shared" si="65"/>
        <v>2126.8835999999997</v>
      </c>
      <c r="M67" s="371">
        <f t="shared" si="66"/>
        <v>2463.9946506000001</v>
      </c>
      <c r="N67" s="397">
        <f t="shared" si="67"/>
        <v>2.0278596784624042E-2</v>
      </c>
      <c r="O67" s="575"/>
      <c r="Q67" s="506"/>
      <c r="R67" s="506"/>
      <c r="S67" s="506"/>
      <c r="T67" s="506"/>
      <c r="U67" s="506"/>
      <c r="V67" s="506"/>
      <c r="W67" s="506"/>
      <c r="X67" s="33"/>
      <c r="Y67" s="33"/>
      <c r="Z67" s="33"/>
      <c r="AA67" s="33"/>
      <c r="AB67" s="33"/>
    </row>
    <row r="68" spans="1:28" s="19" customFormat="1" ht="25.5">
      <c r="A68" s="24"/>
      <c r="B68" s="24"/>
      <c r="C68" s="25" t="s">
        <v>1116</v>
      </c>
      <c r="D68" s="26" t="s">
        <v>218</v>
      </c>
      <c r="E68" s="100">
        <v>10.32</v>
      </c>
      <c r="F68" s="370">
        <f>F67</f>
        <v>2.2999999999999998</v>
      </c>
      <c r="G68" s="370">
        <f t="shared" si="68"/>
        <v>1.8399999999999999</v>
      </c>
      <c r="H68" s="370">
        <f t="shared" si="62"/>
        <v>4.1399999999999997</v>
      </c>
      <c r="I68" s="370">
        <f>H68*(1+'BDI - INFRAESTRUTURA'!$C$23)</f>
        <v>4.7961900000000002</v>
      </c>
      <c r="J68" s="370">
        <f t="shared" si="63"/>
        <v>23.735999999999997</v>
      </c>
      <c r="K68" s="370">
        <f t="shared" si="64"/>
        <v>18.988799999999998</v>
      </c>
      <c r="L68" s="371">
        <f t="shared" si="65"/>
        <v>42.724799999999995</v>
      </c>
      <c r="M68" s="371">
        <f t="shared" si="66"/>
        <v>49.4966808</v>
      </c>
      <c r="N68" s="397">
        <f t="shared" si="67"/>
        <v>4.0735609222042302E-4</v>
      </c>
      <c r="O68" s="575"/>
      <c r="Q68" s="506"/>
      <c r="R68" s="506"/>
      <c r="S68" s="506"/>
      <c r="T68" s="506"/>
      <c r="U68" s="506"/>
      <c r="V68" s="506"/>
      <c r="W68" s="506"/>
      <c r="X68" s="33"/>
      <c r="Y68" s="33"/>
      <c r="Z68" s="33"/>
      <c r="AA68" s="33"/>
      <c r="AB68" s="33"/>
    </row>
    <row r="69" spans="1:28" s="19" customFormat="1" ht="25.5">
      <c r="A69" s="24"/>
      <c r="B69" s="24"/>
      <c r="C69" s="25" t="s">
        <v>1117</v>
      </c>
      <c r="D69" s="26" t="s">
        <v>218</v>
      </c>
      <c r="E69" s="100">
        <v>93.57</v>
      </c>
      <c r="F69" s="370">
        <v>2</v>
      </c>
      <c r="G69" s="370">
        <f t="shared" si="68"/>
        <v>1.6</v>
      </c>
      <c r="H69" s="370">
        <f t="shared" si="62"/>
        <v>3.6</v>
      </c>
      <c r="I69" s="370">
        <f>H69*(1+'BDI - INFRAESTRUTURA'!$C$23)</f>
        <v>4.1706000000000003</v>
      </c>
      <c r="J69" s="370">
        <f t="shared" si="63"/>
        <v>187.14</v>
      </c>
      <c r="K69" s="370">
        <f t="shared" si="64"/>
        <v>149.71199999999999</v>
      </c>
      <c r="L69" s="371">
        <f t="shared" si="65"/>
        <v>336.85199999999998</v>
      </c>
      <c r="M69" s="371">
        <f t="shared" si="66"/>
        <v>390.243042</v>
      </c>
      <c r="N69" s="397">
        <f t="shared" si="67"/>
        <v>3.2116876937196646E-3</v>
      </c>
      <c r="O69" s="575"/>
      <c r="Q69" s="506"/>
      <c r="R69" s="506"/>
      <c r="S69" s="506"/>
      <c r="T69" s="506"/>
      <c r="U69" s="506"/>
      <c r="V69" s="506"/>
      <c r="W69" s="506"/>
      <c r="X69" s="33"/>
      <c r="Y69" s="33"/>
      <c r="Z69" s="33"/>
      <c r="AA69" s="33"/>
      <c r="AB69" s="33"/>
    </row>
    <row r="70" spans="1:28" s="19" customFormat="1" ht="25.5">
      <c r="A70" s="24"/>
      <c r="B70" s="24"/>
      <c r="C70" s="25" t="s">
        <v>1122</v>
      </c>
      <c r="D70" s="26" t="s">
        <v>218</v>
      </c>
      <c r="E70" s="100">
        <v>156.63999999999999</v>
      </c>
      <c r="F70" s="370">
        <f>F69</f>
        <v>2</v>
      </c>
      <c r="G70" s="370">
        <f t="shared" si="68"/>
        <v>1.6</v>
      </c>
      <c r="H70" s="370">
        <f t="shared" si="62"/>
        <v>3.6</v>
      </c>
      <c r="I70" s="370">
        <f>H70*(1+'BDI - INFRAESTRUTURA'!$C$23)</f>
        <v>4.1706000000000003</v>
      </c>
      <c r="J70" s="370">
        <f t="shared" si="63"/>
        <v>313.27999999999997</v>
      </c>
      <c r="K70" s="370">
        <f t="shared" si="64"/>
        <v>250.624</v>
      </c>
      <c r="L70" s="371">
        <f t="shared" si="65"/>
        <v>563.904</v>
      </c>
      <c r="M70" s="371">
        <f t="shared" si="66"/>
        <v>653.28278399999999</v>
      </c>
      <c r="N70" s="397">
        <f t="shared" si="67"/>
        <v>5.3764963165998528E-3</v>
      </c>
      <c r="O70" s="575"/>
      <c r="Q70" s="506"/>
      <c r="R70" s="506"/>
      <c r="S70" s="506"/>
      <c r="T70" s="506"/>
      <c r="U70" s="506"/>
      <c r="V70" s="506"/>
      <c r="W70" s="506"/>
      <c r="X70" s="33"/>
      <c r="Y70" s="33"/>
      <c r="Z70" s="33"/>
      <c r="AA70" s="33"/>
      <c r="AB70" s="33"/>
    </row>
    <row r="71" spans="1:28" s="19" customFormat="1" ht="25.5">
      <c r="A71" s="24"/>
      <c r="B71" s="24"/>
      <c r="C71" s="25" t="s">
        <v>1118</v>
      </c>
      <c r="D71" s="26" t="s">
        <v>218</v>
      </c>
      <c r="E71" s="100">
        <v>81.12</v>
      </c>
      <c r="F71" s="370">
        <v>1.45</v>
      </c>
      <c r="G71" s="370">
        <f t="shared" si="68"/>
        <v>1.1599999999999999</v>
      </c>
      <c r="H71" s="370">
        <f t="shared" si="62"/>
        <v>2.61</v>
      </c>
      <c r="I71" s="370">
        <f>H71*(1+'BDI - INFRAESTRUTURA'!$C$23)</f>
        <v>3.023685</v>
      </c>
      <c r="J71" s="370">
        <f t="shared" si="63"/>
        <v>117.62400000000001</v>
      </c>
      <c r="K71" s="370">
        <f t="shared" si="64"/>
        <v>94.099199999999996</v>
      </c>
      <c r="L71" s="371">
        <f t="shared" si="65"/>
        <v>211.72319999999999</v>
      </c>
      <c r="M71" s="371">
        <f t="shared" si="66"/>
        <v>245.28132720000002</v>
      </c>
      <c r="N71" s="397">
        <f t="shared" si="67"/>
        <v>2.0186574398102057E-3</v>
      </c>
      <c r="O71" s="575"/>
      <c r="Q71" s="506"/>
      <c r="R71" s="506"/>
      <c r="S71" s="506"/>
      <c r="T71" s="506"/>
      <c r="U71" s="506"/>
      <c r="V71" s="506"/>
      <c r="W71" s="506"/>
      <c r="X71" s="33"/>
      <c r="Y71" s="33"/>
      <c r="Z71" s="33"/>
      <c r="AA71" s="33"/>
      <c r="AB71" s="33"/>
    </row>
    <row r="72" spans="1:28" s="19" customFormat="1" ht="25.5">
      <c r="A72" s="24"/>
      <c r="B72" s="24"/>
      <c r="C72" s="25" t="s">
        <v>1123</v>
      </c>
      <c r="D72" s="26" t="s">
        <v>218</v>
      </c>
      <c r="E72" s="100">
        <v>349</v>
      </c>
      <c r="F72" s="370">
        <v>1.05</v>
      </c>
      <c r="G72" s="370">
        <f t="shared" si="68"/>
        <v>0.84000000000000008</v>
      </c>
      <c r="H72" s="370">
        <f t="shared" si="62"/>
        <v>1.8900000000000001</v>
      </c>
      <c r="I72" s="370">
        <f>H72*(1+'BDI - INFRAESTRUTURA'!$C$23)</f>
        <v>2.1895650000000004</v>
      </c>
      <c r="J72" s="370">
        <f t="shared" si="63"/>
        <v>366.45</v>
      </c>
      <c r="K72" s="370">
        <f t="shared" si="64"/>
        <v>293.16000000000003</v>
      </c>
      <c r="L72" s="371">
        <f t="shared" si="65"/>
        <v>659.61</v>
      </c>
      <c r="M72" s="371">
        <f t="shared" si="66"/>
        <v>764.15818500000012</v>
      </c>
      <c r="N72" s="397">
        <f t="shared" si="67"/>
        <v>6.2889973034282957E-3</v>
      </c>
      <c r="O72" s="575"/>
      <c r="Q72" s="506"/>
      <c r="R72" s="506"/>
      <c r="S72" s="506"/>
      <c r="T72" s="506"/>
      <c r="U72" s="506"/>
      <c r="V72" s="506"/>
      <c r="W72" s="506"/>
      <c r="X72" s="33"/>
      <c r="Y72" s="33"/>
      <c r="Z72" s="33"/>
      <c r="AA72" s="33"/>
      <c r="AB72" s="33"/>
    </row>
    <row r="73" spans="1:28" s="19" customFormat="1" ht="25.5">
      <c r="A73" s="24"/>
      <c r="B73" s="24"/>
      <c r="C73" s="25" t="s">
        <v>1119</v>
      </c>
      <c r="D73" s="26" t="s">
        <v>218</v>
      </c>
      <c r="E73" s="100">
        <v>320.36</v>
      </c>
      <c r="F73" s="370">
        <v>0.8</v>
      </c>
      <c r="G73" s="370">
        <f t="shared" si="68"/>
        <v>0.64000000000000012</v>
      </c>
      <c r="H73" s="370">
        <f t="shared" si="62"/>
        <v>1.4400000000000002</v>
      </c>
      <c r="I73" s="370">
        <f>H73*(1+'BDI - INFRAESTRUTURA'!$C$23)</f>
        <v>1.6682400000000004</v>
      </c>
      <c r="J73" s="370">
        <f t="shared" si="63"/>
        <v>256.28800000000001</v>
      </c>
      <c r="K73" s="370">
        <f t="shared" si="64"/>
        <v>205.03040000000004</v>
      </c>
      <c r="L73" s="371">
        <f t="shared" si="65"/>
        <v>461.31840000000005</v>
      </c>
      <c r="M73" s="371">
        <f t="shared" si="66"/>
        <v>534.4373664000002</v>
      </c>
      <c r="N73" s="397">
        <f t="shared" si="67"/>
        <v>4.3984023493001271E-3</v>
      </c>
      <c r="O73" s="575"/>
      <c r="Q73" s="506"/>
      <c r="R73" s="506"/>
      <c r="S73" s="506"/>
      <c r="T73" s="506"/>
      <c r="U73" s="506"/>
      <c r="V73" s="506"/>
      <c r="W73" s="506"/>
      <c r="X73" s="33"/>
      <c r="Y73" s="33"/>
      <c r="Z73" s="33"/>
      <c r="AA73" s="33"/>
      <c r="AB73" s="33"/>
    </row>
    <row r="74" spans="1:28" s="19" customFormat="1" ht="25.5">
      <c r="A74" s="24"/>
      <c r="B74" s="24"/>
      <c r="C74" s="25" t="s">
        <v>1124</v>
      </c>
      <c r="D74" s="26" t="s">
        <v>218</v>
      </c>
      <c r="E74" s="100">
        <v>440.39</v>
      </c>
      <c r="F74" s="370">
        <f>F73</f>
        <v>0.8</v>
      </c>
      <c r="G74" s="370">
        <f>G73</f>
        <v>0.64000000000000012</v>
      </c>
      <c r="H74" s="370">
        <f t="shared" si="62"/>
        <v>1.4400000000000002</v>
      </c>
      <c r="I74" s="370">
        <f>H74*(1+'BDI - INFRAESTRUTURA'!$C$23)</f>
        <v>1.6682400000000004</v>
      </c>
      <c r="J74" s="370">
        <f t="shared" si="63"/>
        <v>352.31200000000001</v>
      </c>
      <c r="K74" s="370">
        <f t="shared" si="64"/>
        <v>281.84960000000007</v>
      </c>
      <c r="L74" s="371">
        <f t="shared" si="65"/>
        <v>634.16160000000002</v>
      </c>
      <c r="M74" s="371">
        <f t="shared" si="66"/>
        <v>734.6762136000001</v>
      </c>
      <c r="N74" s="397">
        <f t="shared" si="67"/>
        <v>6.046361626321271E-3</v>
      </c>
      <c r="O74" s="575"/>
      <c r="Q74" s="506"/>
      <c r="R74" s="506"/>
      <c r="S74" s="506"/>
      <c r="T74" s="506"/>
      <c r="U74" s="506"/>
      <c r="V74" s="506"/>
      <c r="W74" s="506"/>
      <c r="X74" s="33"/>
      <c r="Y74" s="33"/>
      <c r="Z74" s="33"/>
      <c r="AA74" s="33"/>
      <c r="AB74" s="33"/>
    </row>
    <row r="75" spans="1:28" s="19" customFormat="1" ht="25.5">
      <c r="A75" s="24"/>
      <c r="B75" s="24"/>
      <c r="C75" s="25" t="s">
        <v>1125</v>
      </c>
      <c r="D75" s="26" t="s">
        <v>218</v>
      </c>
      <c r="E75" s="100">
        <v>434.50799999999998</v>
      </c>
      <c r="F75" s="370">
        <v>1.78</v>
      </c>
      <c r="G75" s="370">
        <v>1.54</v>
      </c>
      <c r="H75" s="370">
        <f t="shared" si="62"/>
        <v>3.3200000000000003</v>
      </c>
      <c r="I75" s="370">
        <f>H75*(1+'BDI - INFRAESTRUTURA'!$C$23)</f>
        <v>3.8462200000000006</v>
      </c>
      <c r="J75" s="370">
        <f t="shared" si="63"/>
        <v>773.42423999999994</v>
      </c>
      <c r="K75" s="370">
        <f t="shared" si="64"/>
        <v>669.14232000000004</v>
      </c>
      <c r="L75" s="371">
        <f t="shared" si="65"/>
        <v>1442.56656</v>
      </c>
      <c r="M75" s="371">
        <f t="shared" si="66"/>
        <v>1671.2133597600002</v>
      </c>
      <c r="N75" s="397">
        <f t="shared" si="67"/>
        <v>1.3754032240044621E-2</v>
      </c>
      <c r="O75" s="575"/>
      <c r="Q75" s="506"/>
      <c r="R75" s="506"/>
      <c r="S75" s="506"/>
      <c r="T75" s="506"/>
      <c r="U75" s="506"/>
      <c r="V75" s="506"/>
      <c r="W75" s="506"/>
      <c r="X75" s="33"/>
      <c r="Y75" s="33"/>
      <c r="Z75" s="33"/>
      <c r="AA75" s="33"/>
      <c r="AB75" s="33"/>
    </row>
    <row r="76" spans="1:28" s="19" customFormat="1" ht="25.5">
      <c r="A76" s="24"/>
      <c r="B76" s="24"/>
      <c r="C76" s="25" t="s">
        <v>1126</v>
      </c>
      <c r="D76" s="26" t="s">
        <v>218</v>
      </c>
      <c r="E76" s="100">
        <v>749.44</v>
      </c>
      <c r="F76" s="370">
        <v>3.05</v>
      </c>
      <c r="G76" s="370">
        <v>1.72</v>
      </c>
      <c r="H76" s="370">
        <f t="shared" si="62"/>
        <v>4.7699999999999996</v>
      </c>
      <c r="I76" s="370">
        <f>H76*(1+'BDI - INFRAESTRUTURA'!$C$23)</f>
        <v>5.5260449999999999</v>
      </c>
      <c r="J76" s="370">
        <f t="shared" si="63"/>
        <v>2285.7919999999999</v>
      </c>
      <c r="K76" s="370">
        <f t="shared" si="64"/>
        <v>1289.0368000000001</v>
      </c>
      <c r="L76" s="371">
        <f t="shared" si="65"/>
        <v>3574.8287999999998</v>
      </c>
      <c r="M76" s="371">
        <f t="shared" si="66"/>
        <v>4141.4391648000001</v>
      </c>
      <c r="N76" s="397">
        <f t="shared" si="67"/>
        <v>3.4083911225448078E-2</v>
      </c>
      <c r="O76" s="575"/>
      <c r="Q76" s="506"/>
      <c r="R76" s="506"/>
      <c r="S76" s="506"/>
      <c r="T76" s="506"/>
      <c r="U76" s="506"/>
      <c r="V76" s="506"/>
      <c r="W76" s="506"/>
      <c r="X76" s="33"/>
      <c r="Y76" s="33"/>
      <c r="Z76" s="33"/>
      <c r="AA76" s="33"/>
      <c r="AB76" s="33"/>
    </row>
    <row r="77" spans="1:28" s="19" customFormat="1" ht="25.5">
      <c r="A77" s="24"/>
      <c r="B77" s="24"/>
      <c r="C77" s="25" t="s">
        <v>1127</v>
      </c>
      <c r="D77" s="26" t="s">
        <v>218</v>
      </c>
      <c r="E77" s="100">
        <v>206.46</v>
      </c>
      <c r="F77" s="370">
        <v>3.54</v>
      </c>
      <c r="G77" s="370">
        <v>2.34</v>
      </c>
      <c r="H77" s="370">
        <f t="shared" si="62"/>
        <v>5.88</v>
      </c>
      <c r="I77" s="370">
        <f>H77*(1+'BDI - INFRAESTRUTURA'!$C$23)</f>
        <v>6.8119800000000001</v>
      </c>
      <c r="J77" s="370">
        <f t="shared" si="63"/>
        <v>730.86840000000007</v>
      </c>
      <c r="K77" s="370">
        <f t="shared" si="64"/>
        <v>483.1164</v>
      </c>
      <c r="L77" s="371">
        <f t="shared" si="65"/>
        <v>1213.9848</v>
      </c>
      <c r="M77" s="371">
        <f t="shared" si="66"/>
        <v>1406.4013908000002</v>
      </c>
      <c r="N77" s="397">
        <f t="shared" si="67"/>
        <v>1.1574638246240868E-2</v>
      </c>
      <c r="O77" s="575"/>
      <c r="Q77" s="506"/>
      <c r="R77" s="506"/>
      <c r="S77" s="506"/>
      <c r="T77" s="506"/>
      <c r="U77" s="506"/>
      <c r="V77" s="506"/>
      <c r="W77" s="506"/>
      <c r="X77" s="33"/>
      <c r="Y77" s="33"/>
      <c r="Z77" s="33"/>
      <c r="AA77" s="33"/>
      <c r="AB77" s="33"/>
    </row>
    <row r="78" spans="1:28" s="19" customFormat="1" ht="25.5">
      <c r="A78" s="24"/>
      <c r="B78" s="24"/>
      <c r="C78" s="25" t="s">
        <v>1128</v>
      </c>
      <c r="D78" s="26" t="s">
        <v>218</v>
      </c>
      <c r="E78" s="100">
        <v>7262.65</v>
      </c>
      <c r="F78" s="370">
        <v>3.5</v>
      </c>
      <c r="G78" s="370">
        <v>2.4500000000000002</v>
      </c>
      <c r="H78" s="370">
        <f t="shared" si="62"/>
        <v>5.95</v>
      </c>
      <c r="I78" s="370">
        <f>H78*(1+'BDI - INFRAESTRUTURA'!$C$23)</f>
        <v>6.8930750000000005</v>
      </c>
      <c r="J78" s="370">
        <f t="shared" si="63"/>
        <v>25419.274999999998</v>
      </c>
      <c r="K78" s="370">
        <f t="shared" si="64"/>
        <v>17793.4925</v>
      </c>
      <c r="L78" s="371">
        <f t="shared" si="65"/>
        <v>43212.767500000002</v>
      </c>
      <c r="M78" s="371">
        <f t="shared" si="66"/>
        <v>50061.991148749999</v>
      </c>
      <c r="N78" s="397">
        <f t="shared" si="67"/>
        <v>0.41200857822224324</v>
      </c>
      <c r="O78" s="575"/>
      <c r="Q78" s="506"/>
      <c r="R78" s="506"/>
      <c r="S78" s="506"/>
      <c r="T78" s="506"/>
      <c r="U78" s="506"/>
      <c r="V78" s="506"/>
      <c r="W78" s="506"/>
      <c r="X78" s="33"/>
      <c r="Y78" s="33"/>
      <c r="Z78" s="33"/>
      <c r="AA78" s="33"/>
      <c r="AB78" s="33"/>
    </row>
    <row r="79" spans="1:28" s="19" customFormat="1" ht="25.5">
      <c r="A79" s="24"/>
      <c r="B79" s="24"/>
      <c r="C79" s="25" t="s">
        <v>1129</v>
      </c>
      <c r="D79" s="26" t="s">
        <v>218</v>
      </c>
      <c r="E79" s="100">
        <v>1895.28</v>
      </c>
      <c r="F79" s="370">
        <v>6.54</v>
      </c>
      <c r="G79" s="370">
        <v>2.7</v>
      </c>
      <c r="H79" s="370">
        <f t="shared" ref="H79:H87" si="69">F79+G79</f>
        <v>9.24</v>
      </c>
      <c r="I79" s="370">
        <f>H79*(1+'BDI - INFRAESTRUTURA'!$C$23)</f>
        <v>10.704540000000001</v>
      </c>
      <c r="J79" s="370">
        <f t="shared" ref="J79:J87" si="70">E79*F79</f>
        <v>12395.1312</v>
      </c>
      <c r="K79" s="370">
        <f t="shared" ref="K79:K87" si="71">E79*G79</f>
        <v>5117.2560000000003</v>
      </c>
      <c r="L79" s="371">
        <f t="shared" ref="L79:L87" si="72">H79*E79</f>
        <v>17512.387200000001</v>
      </c>
      <c r="M79" s="371">
        <f t="shared" ref="M79:M87" si="73">I79*E79</f>
        <v>20288.100571200004</v>
      </c>
      <c r="N79" s="397">
        <f>M79/$M$88</f>
        <v>0.166970415665912</v>
      </c>
      <c r="O79" s="575"/>
      <c r="Q79" s="506"/>
      <c r="R79" s="506"/>
      <c r="S79" s="506"/>
      <c r="T79" s="506"/>
      <c r="U79" s="506"/>
      <c r="V79" s="506"/>
      <c r="W79" s="506"/>
      <c r="X79" s="33"/>
      <c r="Y79" s="33"/>
      <c r="Z79" s="33"/>
      <c r="AA79" s="33"/>
      <c r="AB79" s="33"/>
    </row>
    <row r="80" spans="1:28" s="19" customFormat="1" ht="25.5">
      <c r="A80" s="24"/>
      <c r="B80" s="24"/>
      <c r="C80" s="25" t="s">
        <v>1067</v>
      </c>
      <c r="D80" s="26" t="s">
        <v>693</v>
      </c>
      <c r="E80" s="100">
        <f>18+19</f>
        <v>37</v>
      </c>
      <c r="F80" s="370">
        <f>F81*2</f>
        <v>13.16</v>
      </c>
      <c r="G80" s="370">
        <f>F80*0.5</f>
        <v>6.58</v>
      </c>
      <c r="H80" s="370">
        <f t="shared" ref="H80:H81" si="74">F80+G80</f>
        <v>19.740000000000002</v>
      </c>
      <c r="I80" s="370">
        <f>H80*(1+'BDI - INFRAESTRUTURA'!$C$23)</f>
        <v>22.868790000000004</v>
      </c>
      <c r="J80" s="370">
        <f t="shared" ref="J80:J81" si="75">E80*F80</f>
        <v>486.92</v>
      </c>
      <c r="K80" s="370">
        <f t="shared" ref="K80:K81" si="76">E80*G80</f>
        <v>243.46</v>
      </c>
      <c r="L80" s="371">
        <f t="shared" ref="L80:L81" si="77">H80*E80</f>
        <v>730.38000000000011</v>
      </c>
      <c r="M80" s="371">
        <f t="shared" ref="M80:M81" si="78">I80*E80</f>
        <v>846.1452300000002</v>
      </c>
      <c r="N80" s="397">
        <f t="shared" ref="N80:N81" si="79">M80/$M$88</f>
        <v>6.9637480488136307E-3</v>
      </c>
      <c r="O80" s="575"/>
      <c r="Q80" s="506"/>
      <c r="R80" s="506"/>
      <c r="S80" s="506"/>
      <c r="T80" s="506"/>
      <c r="U80" s="506"/>
      <c r="V80" s="506"/>
      <c r="W80" s="506"/>
      <c r="X80" s="33"/>
      <c r="Y80" s="33"/>
      <c r="Z80" s="33"/>
      <c r="AA80" s="33"/>
      <c r="AB80" s="33"/>
    </row>
    <row r="81" spans="1:28" s="19" customFormat="1">
      <c r="A81" s="24"/>
      <c r="B81" s="24"/>
      <c r="C81" s="25" t="s">
        <v>1066</v>
      </c>
      <c r="D81" s="26" t="s">
        <v>693</v>
      </c>
      <c r="E81" s="100">
        <v>13</v>
      </c>
      <c r="F81" s="370">
        <v>6.58</v>
      </c>
      <c r="G81" s="370">
        <f>F81*0.5</f>
        <v>3.29</v>
      </c>
      <c r="H81" s="370">
        <f t="shared" si="74"/>
        <v>9.870000000000001</v>
      </c>
      <c r="I81" s="370">
        <f>H81*(1+'BDI - INFRAESTRUTURA'!$C$23)</f>
        <v>11.434395000000002</v>
      </c>
      <c r="J81" s="370">
        <f t="shared" si="75"/>
        <v>85.54</v>
      </c>
      <c r="K81" s="370">
        <f t="shared" si="76"/>
        <v>42.77</v>
      </c>
      <c r="L81" s="371">
        <f t="shared" si="77"/>
        <v>128.31</v>
      </c>
      <c r="M81" s="371">
        <f t="shared" si="78"/>
        <v>148.64713500000002</v>
      </c>
      <c r="N81" s="397">
        <f t="shared" si="79"/>
        <v>1.2233611437105025E-3</v>
      </c>
      <c r="O81" s="575"/>
      <c r="Q81" s="506"/>
      <c r="R81" s="506"/>
      <c r="S81" s="506"/>
      <c r="T81" s="506"/>
      <c r="U81" s="506"/>
      <c r="V81" s="506"/>
      <c r="W81" s="506"/>
      <c r="X81" s="33"/>
      <c r="Y81" s="33"/>
      <c r="Z81" s="33"/>
      <c r="AA81" s="33"/>
      <c r="AB81" s="33"/>
    </row>
    <row r="82" spans="1:28" s="19" customFormat="1">
      <c r="A82" s="24"/>
      <c r="B82" s="24"/>
      <c r="C82" s="25" t="s">
        <v>1059</v>
      </c>
      <c r="D82" s="26" t="s">
        <v>218</v>
      </c>
      <c r="E82" s="100">
        <v>686.02</v>
      </c>
      <c r="F82" s="370">
        <f>363.54/200</f>
        <v>1.8177000000000001</v>
      </c>
      <c r="G82" s="370">
        <f>F82*1.5</f>
        <v>2.72655</v>
      </c>
      <c r="H82" s="370">
        <f t="shared" si="69"/>
        <v>4.5442499999999999</v>
      </c>
      <c r="I82" s="370">
        <f>H82*(1+'BDI - INFRAESTRUTURA'!$C$23)</f>
        <v>5.2645136250000002</v>
      </c>
      <c r="J82" s="370">
        <f t="shared" si="70"/>
        <v>1246.978554</v>
      </c>
      <c r="K82" s="370">
        <f t="shared" si="71"/>
        <v>1870.4678309999999</v>
      </c>
      <c r="L82" s="371">
        <f t="shared" si="72"/>
        <v>3117.4463849999997</v>
      </c>
      <c r="M82" s="371">
        <f t="shared" si="73"/>
        <v>3611.5616370225002</v>
      </c>
      <c r="N82" s="397">
        <f t="shared" ref="N82:N87" si="80">M82/$M$88</f>
        <v>2.972303620146342E-2</v>
      </c>
      <c r="O82" s="575"/>
      <c r="Q82" s="506"/>
      <c r="R82" s="506"/>
      <c r="S82" s="506"/>
      <c r="T82" s="506"/>
      <c r="U82" s="506"/>
      <c r="V82" s="506"/>
      <c r="W82" s="506"/>
      <c r="X82" s="33"/>
      <c r="Y82" s="33"/>
      <c r="Z82" s="33"/>
      <c r="AA82" s="33"/>
      <c r="AB82" s="33"/>
    </row>
    <row r="83" spans="1:28" s="19" customFormat="1">
      <c r="A83" s="24"/>
      <c r="B83" s="24"/>
      <c r="C83" s="25" t="s">
        <v>1060</v>
      </c>
      <c r="D83" s="26" t="s">
        <v>218</v>
      </c>
      <c r="E83" s="100">
        <v>2982.5</v>
      </c>
      <c r="F83" s="370">
        <f>39.81/100</f>
        <v>0.39810000000000001</v>
      </c>
      <c r="G83" s="370">
        <f t="shared" ref="G83:G84" si="81">F83*1.5</f>
        <v>0.59715000000000007</v>
      </c>
      <c r="H83" s="370">
        <f t="shared" si="69"/>
        <v>0.99525000000000008</v>
      </c>
      <c r="I83" s="370">
        <f>H83*(1+'BDI - INFRAESTRUTURA'!$C$23)</f>
        <v>1.1529971250000002</v>
      </c>
      <c r="J83" s="370">
        <f t="shared" si="70"/>
        <v>1187.3332500000001</v>
      </c>
      <c r="K83" s="370">
        <f t="shared" si="71"/>
        <v>1780.9998750000002</v>
      </c>
      <c r="L83" s="371">
        <f t="shared" si="72"/>
        <v>2968.3331250000001</v>
      </c>
      <c r="M83" s="371">
        <f t="shared" si="73"/>
        <v>3438.8139253125005</v>
      </c>
      <c r="N83" s="397">
        <f t="shared" si="80"/>
        <v>2.8301328085993067E-2</v>
      </c>
      <c r="O83" s="575"/>
      <c r="Q83" s="506"/>
      <c r="R83" s="506"/>
      <c r="S83" s="506"/>
      <c r="T83" s="506"/>
      <c r="U83" s="506"/>
      <c r="V83" s="506"/>
      <c r="W83" s="506"/>
      <c r="X83" s="33"/>
      <c r="Y83" s="33"/>
      <c r="Z83" s="33"/>
      <c r="AA83" s="33"/>
      <c r="AB83" s="33"/>
    </row>
    <row r="84" spans="1:28" s="19" customFormat="1">
      <c r="A84" s="24"/>
      <c r="B84" s="24"/>
      <c r="C84" s="25" t="s">
        <v>1061</v>
      </c>
      <c r="D84" s="26" t="s">
        <v>218</v>
      </c>
      <c r="E84" s="100">
        <v>274.08</v>
      </c>
      <c r="F84" s="370">
        <f>32/200</f>
        <v>0.16</v>
      </c>
      <c r="G84" s="370">
        <f t="shared" si="81"/>
        <v>0.24</v>
      </c>
      <c r="H84" s="370">
        <f t="shared" si="69"/>
        <v>0.4</v>
      </c>
      <c r="I84" s="370">
        <f>H84*(1+'BDI - INFRAESTRUTURA'!$C$23)</f>
        <v>0.46340000000000003</v>
      </c>
      <c r="J84" s="370">
        <f t="shared" si="70"/>
        <v>43.852799999999995</v>
      </c>
      <c r="K84" s="370">
        <f t="shared" si="71"/>
        <v>65.779199999999989</v>
      </c>
      <c r="L84" s="371">
        <f t="shared" si="72"/>
        <v>109.63200000000001</v>
      </c>
      <c r="M84" s="371">
        <f t="shared" si="73"/>
        <v>127.008672</v>
      </c>
      <c r="N84" s="397">
        <f t="shared" si="80"/>
        <v>1.0452772886545851E-3</v>
      </c>
      <c r="O84" s="575"/>
      <c r="Q84" s="506"/>
      <c r="R84" s="506"/>
      <c r="S84" s="506"/>
      <c r="T84" s="506"/>
      <c r="U84" s="506"/>
      <c r="V84" s="506"/>
      <c r="W84" s="506"/>
      <c r="X84" s="33"/>
      <c r="Y84" s="33"/>
      <c r="Z84" s="33"/>
      <c r="AA84" s="33"/>
      <c r="AB84" s="33"/>
    </row>
    <row r="85" spans="1:28" s="19" customFormat="1">
      <c r="A85" s="24"/>
      <c r="B85" s="24"/>
      <c r="C85" s="25" t="s">
        <v>1130</v>
      </c>
      <c r="D85" s="26" t="s">
        <v>693</v>
      </c>
      <c r="E85" s="100">
        <v>1</v>
      </c>
      <c r="F85" s="370">
        <v>824.73688735649432</v>
      </c>
      <c r="G85" s="370">
        <f>F85</f>
        <v>824.73688735649432</v>
      </c>
      <c r="H85" s="370">
        <f t="shared" si="69"/>
        <v>1649.4737747129886</v>
      </c>
      <c r="I85" s="370">
        <f>H85*(1+'BDI - INFRAESTRUTURA'!$C$23)</f>
        <v>1910.9153680049974</v>
      </c>
      <c r="J85" s="370">
        <f t="shared" si="70"/>
        <v>824.73688735649432</v>
      </c>
      <c r="K85" s="370">
        <f t="shared" si="71"/>
        <v>824.73688735649432</v>
      </c>
      <c r="L85" s="371">
        <f t="shared" si="72"/>
        <v>1649.4737747129886</v>
      </c>
      <c r="M85" s="371">
        <f t="shared" si="73"/>
        <v>1910.9153680049974</v>
      </c>
      <c r="N85" s="397">
        <f t="shared" si="80"/>
        <v>1.572677206416773E-2</v>
      </c>
      <c r="O85" s="575"/>
      <c r="Q85" s="506"/>
      <c r="R85" s="506"/>
      <c r="S85" s="506"/>
      <c r="T85" s="506"/>
      <c r="U85" s="506"/>
      <c r="V85" s="506"/>
      <c r="W85" s="506"/>
      <c r="X85" s="33"/>
      <c r="Y85" s="33"/>
      <c r="Z85" s="33"/>
      <c r="AA85" s="33"/>
      <c r="AB85" s="33"/>
    </row>
    <row r="86" spans="1:28" s="19" customFormat="1" ht="25.5">
      <c r="A86" s="24"/>
      <c r="B86" s="24"/>
      <c r="C86" s="25" t="s">
        <v>1132</v>
      </c>
      <c r="D86" s="26" t="s">
        <v>693</v>
      </c>
      <c r="E86" s="100">
        <v>40</v>
      </c>
      <c r="F86" s="370">
        <v>20.25</v>
      </c>
      <c r="G86" s="370">
        <f>120/40</f>
        <v>3</v>
      </c>
      <c r="H86" s="370">
        <f t="shared" si="69"/>
        <v>23.25</v>
      </c>
      <c r="I86" s="370">
        <f>H86*(1+'BDI - INFRAESTRUTURA'!$C$23)</f>
        <v>26.935125000000003</v>
      </c>
      <c r="J86" s="370">
        <f t="shared" si="70"/>
        <v>810</v>
      </c>
      <c r="K86" s="370">
        <f t="shared" si="71"/>
        <v>120</v>
      </c>
      <c r="L86" s="371">
        <f t="shared" si="72"/>
        <v>930</v>
      </c>
      <c r="M86" s="371">
        <f t="shared" si="73"/>
        <v>1077.4050000000002</v>
      </c>
      <c r="N86" s="397">
        <f t="shared" si="80"/>
        <v>8.8670085235037603E-3</v>
      </c>
      <c r="O86" s="575"/>
      <c r="Q86" s="506"/>
      <c r="R86" s="506"/>
      <c r="S86" s="506"/>
      <c r="T86" s="506"/>
      <c r="U86" s="506"/>
      <c r="V86" s="506"/>
      <c r="W86" s="506"/>
      <c r="X86" s="33"/>
      <c r="Y86" s="33"/>
      <c r="Z86" s="33"/>
      <c r="AA86" s="33"/>
      <c r="AB86" s="33"/>
    </row>
    <row r="87" spans="1:28" s="19" customFormat="1" ht="25.5">
      <c r="A87" s="24"/>
      <c r="B87" s="24"/>
      <c r="C87" s="25" t="s">
        <v>1131</v>
      </c>
      <c r="D87" s="26" t="s">
        <v>693</v>
      </c>
      <c r="E87" s="100">
        <v>1</v>
      </c>
      <c r="F87" s="370">
        <f>'COMPOSIÇÕES DE PREÇOS INFRA'!F19</f>
        <v>9529.1514999999999</v>
      </c>
      <c r="G87" s="370">
        <f>'COMPOSIÇÕES DE PREÇOS INFRA'!G19</f>
        <v>2575.7599999999998</v>
      </c>
      <c r="H87" s="370">
        <f t="shared" si="69"/>
        <v>12104.9115</v>
      </c>
      <c r="I87" s="370">
        <f>H87*(1+'BDI - INFRAESTRUTURA'!$C$23)</f>
        <v>14023.539972750001</v>
      </c>
      <c r="J87" s="370">
        <f t="shared" si="70"/>
        <v>9529.1514999999999</v>
      </c>
      <c r="K87" s="370">
        <f t="shared" si="71"/>
        <v>2575.7599999999998</v>
      </c>
      <c r="L87" s="371">
        <f t="shared" si="72"/>
        <v>12104.9115</v>
      </c>
      <c r="M87" s="371">
        <f t="shared" si="73"/>
        <v>14023.539972750001</v>
      </c>
      <c r="N87" s="397">
        <f t="shared" si="80"/>
        <v>0.11541328327608459</v>
      </c>
      <c r="O87" s="575"/>
      <c r="Q87" s="506"/>
      <c r="R87" s="506"/>
      <c r="S87" s="506"/>
      <c r="T87" s="506"/>
      <c r="U87" s="506"/>
      <c r="V87" s="506"/>
      <c r="W87" s="506"/>
      <c r="X87" s="33"/>
      <c r="Y87" s="33"/>
      <c r="Z87" s="33"/>
      <c r="AA87" s="33"/>
      <c r="AB87" s="33"/>
    </row>
    <row r="88" spans="1:28" s="19" customFormat="1" ht="15.75">
      <c r="A88" s="264"/>
      <c r="B88" s="56"/>
      <c r="C88" s="158" t="s">
        <v>220</v>
      </c>
      <c r="D88" s="56"/>
      <c r="E88" s="265"/>
      <c r="F88" s="373"/>
      <c r="G88" s="373"/>
      <c r="H88" s="373"/>
      <c r="I88" s="373"/>
      <c r="J88" s="373"/>
      <c r="K88" s="373"/>
      <c r="L88" s="374"/>
      <c r="M88" s="372">
        <f>SUM(M64:M87)</f>
        <v>121507.1573625</v>
      </c>
      <c r="N88" s="398">
        <f>M88/$M$114</f>
        <v>0.11655138626667688</v>
      </c>
      <c r="O88" s="576"/>
      <c r="P88" s="63">
        <v>121507.1573625</v>
      </c>
      <c r="Q88" s="39" t="str">
        <f>IF(P88=M88,"BOA GAROTO","FAZ BATER")</f>
        <v>BOA GAROTO</v>
      </c>
      <c r="R88" s="528"/>
      <c r="S88" s="528"/>
      <c r="T88" s="528"/>
      <c r="U88" s="528"/>
      <c r="V88" s="528"/>
      <c r="W88" s="528"/>
      <c r="Y88" s="33"/>
      <c r="Z88" s="33"/>
      <c r="AA88" s="33"/>
      <c r="AB88" s="33"/>
    </row>
    <row r="89" spans="1:28" s="19" customFormat="1">
      <c r="A89" s="380">
        <v>7</v>
      </c>
      <c r="B89" s="380"/>
      <c r="C89" s="381" t="s">
        <v>398</v>
      </c>
      <c r="D89" s="382"/>
      <c r="E89" s="383"/>
      <c r="F89" s="383"/>
      <c r="G89" s="383"/>
      <c r="H89" s="383"/>
      <c r="I89" s="383"/>
      <c r="J89" s="383"/>
      <c r="K89" s="383"/>
      <c r="L89" s="384"/>
      <c r="M89" s="384"/>
      <c r="N89" s="395"/>
      <c r="O89" s="396"/>
      <c r="Q89" s="526"/>
      <c r="R89" s="526"/>
      <c r="S89" s="526"/>
      <c r="T89" s="526"/>
      <c r="U89" s="526"/>
      <c r="V89" s="526"/>
      <c r="W89" s="526"/>
      <c r="X89" s="33"/>
      <c r="Y89" s="33"/>
      <c r="Z89" s="33"/>
      <c r="AA89" s="33"/>
      <c r="AB89" s="33"/>
    </row>
    <row r="90" spans="1:28" s="19" customFormat="1">
      <c r="A90" s="24"/>
      <c r="B90" s="24" t="s">
        <v>29</v>
      </c>
      <c r="C90" s="25" t="s">
        <v>508</v>
      </c>
      <c r="D90" s="26" t="s">
        <v>212</v>
      </c>
      <c r="E90" s="100">
        <v>14.962000000000003</v>
      </c>
      <c r="F90" s="370">
        <v>103.9806013819385</v>
      </c>
      <c r="G90" s="370">
        <v>69.320400921292332</v>
      </c>
      <c r="H90" s="370">
        <f t="shared" ref="H90:H102" si="82">F90+G90</f>
        <v>173.30100230323083</v>
      </c>
      <c r="I90" s="370">
        <f>H90*(1+'BDI - INFRAESTRUTURA'!$C$23)</f>
        <v>200.76921116829294</v>
      </c>
      <c r="J90" s="370">
        <f t="shared" ref="J90:J102" si="83">E90*F90</f>
        <v>1555.7577578765643</v>
      </c>
      <c r="K90" s="370">
        <f t="shared" ref="K90:K102" si="84">E90*G90</f>
        <v>1037.171838584376</v>
      </c>
      <c r="L90" s="371">
        <f t="shared" ref="L90:L102" si="85">H90*E90</f>
        <v>2592.92959646094</v>
      </c>
      <c r="M90" s="371">
        <f t="shared" ref="M90:M102" si="86">I90*E90</f>
        <v>3003.9089374999999</v>
      </c>
      <c r="N90" s="397">
        <f>M90/$M$103</f>
        <v>0.128420197944008</v>
      </c>
      <c r="O90" s="574">
        <f>M103/$M$115</f>
        <v>6.5549250000000005E-3</v>
      </c>
      <c r="Q90" s="527"/>
      <c r="R90" s="527"/>
      <c r="S90" s="527"/>
      <c r="T90" s="527"/>
      <c r="U90" s="527"/>
      <c r="V90" s="527"/>
      <c r="W90" s="527"/>
      <c r="Y90" s="33"/>
      <c r="Z90" s="33"/>
      <c r="AA90" s="33"/>
      <c r="AB90" s="33"/>
    </row>
    <row r="91" spans="1:28" s="33" customFormat="1">
      <c r="A91" s="24"/>
      <c r="B91" s="24" t="s">
        <v>33</v>
      </c>
      <c r="C91" s="25" t="s">
        <v>526</v>
      </c>
      <c r="D91" s="26" t="s">
        <v>212</v>
      </c>
      <c r="E91" s="100">
        <v>6636.4</v>
      </c>
      <c r="F91" s="370">
        <v>0.5</v>
      </c>
      <c r="G91" s="370">
        <v>2</v>
      </c>
      <c r="H91" s="370">
        <f t="shared" si="82"/>
        <v>2.5</v>
      </c>
      <c r="I91" s="370">
        <f>H91*(1+'BDI - INFRAESTRUTURA'!$C$23)</f>
        <v>2.8962500000000002</v>
      </c>
      <c r="J91" s="370">
        <f t="shared" si="83"/>
        <v>3318.2</v>
      </c>
      <c r="K91" s="370">
        <f t="shared" si="84"/>
        <v>13272.8</v>
      </c>
      <c r="L91" s="371">
        <f t="shared" si="85"/>
        <v>16591</v>
      </c>
      <c r="M91" s="371">
        <f t="shared" si="86"/>
        <v>19220.673500000001</v>
      </c>
      <c r="N91" s="397">
        <f>M91/$M$103</f>
        <v>0.8217035691972101</v>
      </c>
      <c r="O91" s="575"/>
      <c r="P91" s="367"/>
      <c r="Q91" s="526"/>
      <c r="R91" s="526"/>
      <c r="S91" s="526"/>
      <c r="T91" s="526"/>
      <c r="U91" s="526"/>
      <c r="V91" s="526"/>
      <c r="W91" s="526"/>
    </row>
    <row r="92" spans="1:28" s="33" customFormat="1">
      <c r="A92" s="24"/>
      <c r="B92" s="24" t="s">
        <v>35</v>
      </c>
      <c r="C92" s="25" t="s">
        <v>963</v>
      </c>
      <c r="D92" s="26" t="s">
        <v>429</v>
      </c>
      <c r="E92" s="100">
        <v>7</v>
      </c>
      <c r="F92" s="370">
        <v>0.3</v>
      </c>
      <c r="G92" s="370">
        <v>2.5</v>
      </c>
      <c r="H92" s="370">
        <f t="shared" si="82"/>
        <v>2.8</v>
      </c>
      <c r="I92" s="370">
        <f>H92*(1+'BDI - INFRAESTRUTURA'!$C$23)</f>
        <v>3.2438000000000002</v>
      </c>
      <c r="J92" s="370">
        <f t="shared" si="83"/>
        <v>2.1</v>
      </c>
      <c r="K92" s="370">
        <f t="shared" si="84"/>
        <v>17.5</v>
      </c>
      <c r="L92" s="371">
        <f t="shared" si="85"/>
        <v>19.599999999999998</v>
      </c>
      <c r="M92" s="371">
        <f t="shared" si="86"/>
        <v>22.706600000000002</v>
      </c>
      <c r="N92" s="397">
        <f t="shared" ref="N92:N102" si="87">M92/$M$103</f>
        <v>9.7073051390906629E-4</v>
      </c>
      <c r="O92" s="575"/>
      <c r="P92" s="367"/>
      <c r="Q92" s="526"/>
      <c r="R92" s="526"/>
      <c r="S92" s="526"/>
      <c r="T92" s="526"/>
      <c r="U92" s="526"/>
      <c r="V92" s="526"/>
      <c r="W92" s="526"/>
    </row>
    <row r="93" spans="1:28" s="33" customFormat="1">
      <c r="A93" s="24"/>
      <c r="B93" s="24" t="s">
        <v>88</v>
      </c>
      <c r="C93" s="25" t="s">
        <v>964</v>
      </c>
      <c r="D93" s="26" t="s">
        <v>429</v>
      </c>
      <c r="E93" s="100">
        <v>7</v>
      </c>
      <c r="F93" s="370">
        <v>0.3</v>
      </c>
      <c r="G93" s="370">
        <v>1.2</v>
      </c>
      <c r="H93" s="370">
        <f t="shared" si="82"/>
        <v>1.5</v>
      </c>
      <c r="I93" s="370">
        <f>H93*(1+'BDI - INFRAESTRUTURA'!$C$23)</f>
        <v>1.7377500000000001</v>
      </c>
      <c r="J93" s="370">
        <f t="shared" si="83"/>
        <v>2.1</v>
      </c>
      <c r="K93" s="370">
        <f t="shared" si="84"/>
        <v>8.4</v>
      </c>
      <c r="L93" s="371">
        <f t="shared" si="85"/>
        <v>10.5</v>
      </c>
      <c r="M93" s="371">
        <f t="shared" si="86"/>
        <v>12.164250000000001</v>
      </c>
      <c r="N93" s="397">
        <f t="shared" si="87"/>
        <v>5.2003420387985696E-4</v>
      </c>
      <c r="O93" s="575"/>
      <c r="P93" s="367"/>
    </row>
    <row r="94" spans="1:28" s="33" customFormat="1">
      <c r="A94" s="24"/>
      <c r="B94" s="24" t="s">
        <v>509</v>
      </c>
      <c r="C94" s="25" t="s">
        <v>965</v>
      </c>
      <c r="D94" s="26" t="s">
        <v>429</v>
      </c>
      <c r="E94" s="100">
        <v>26</v>
      </c>
      <c r="F94" s="370">
        <v>0.3</v>
      </c>
      <c r="G94" s="370">
        <v>0.5</v>
      </c>
      <c r="H94" s="370">
        <f t="shared" si="82"/>
        <v>0.8</v>
      </c>
      <c r="I94" s="370">
        <f>H94*(1+'BDI - INFRAESTRUTURA'!$C$23)</f>
        <v>0.92680000000000007</v>
      </c>
      <c r="J94" s="370">
        <f t="shared" si="83"/>
        <v>7.8</v>
      </c>
      <c r="K94" s="370">
        <f t="shared" si="84"/>
        <v>13</v>
      </c>
      <c r="L94" s="371">
        <f t="shared" si="85"/>
        <v>20.8</v>
      </c>
      <c r="M94" s="371">
        <f t="shared" si="86"/>
        <v>24.096800000000002</v>
      </c>
      <c r="N94" s="397">
        <f t="shared" si="87"/>
        <v>1.0301629943524784E-3</v>
      </c>
      <c r="O94" s="575"/>
      <c r="P94" s="367"/>
    </row>
    <row r="95" spans="1:28" s="33" customFormat="1">
      <c r="A95" s="24"/>
      <c r="B95" s="24" t="s">
        <v>510</v>
      </c>
      <c r="C95" s="25" t="s">
        <v>955</v>
      </c>
      <c r="D95" s="26" t="s">
        <v>429</v>
      </c>
      <c r="E95" s="100">
        <v>235</v>
      </c>
      <c r="F95" s="370">
        <v>0.3</v>
      </c>
      <c r="G95" s="370">
        <v>0.25</v>
      </c>
      <c r="H95" s="370">
        <f t="shared" si="82"/>
        <v>0.55000000000000004</v>
      </c>
      <c r="I95" s="370">
        <f>H95*(1+'BDI - INFRAESTRUTURA'!$C$23)</f>
        <v>0.63717500000000005</v>
      </c>
      <c r="J95" s="370">
        <f t="shared" si="83"/>
        <v>70.5</v>
      </c>
      <c r="K95" s="370">
        <f t="shared" si="84"/>
        <v>58.75</v>
      </c>
      <c r="L95" s="371">
        <f t="shared" si="85"/>
        <v>129.25</v>
      </c>
      <c r="M95" s="371">
        <f t="shared" si="86"/>
        <v>149.73612500000002</v>
      </c>
      <c r="N95" s="397">
        <f t="shared" si="87"/>
        <v>6.4013734144258583E-3</v>
      </c>
      <c r="O95" s="575"/>
      <c r="P95" s="367"/>
    </row>
    <row r="96" spans="1:28" s="33" customFormat="1">
      <c r="A96" s="24"/>
      <c r="B96" s="24" t="s">
        <v>511</v>
      </c>
      <c r="C96" s="25" t="s">
        <v>956</v>
      </c>
      <c r="D96" s="26" t="s">
        <v>429</v>
      </c>
      <c r="E96" s="100">
        <v>56</v>
      </c>
      <c r="F96" s="370">
        <v>0.3</v>
      </c>
      <c r="G96" s="370">
        <v>0.6</v>
      </c>
      <c r="H96" s="370">
        <f t="shared" si="82"/>
        <v>0.89999999999999991</v>
      </c>
      <c r="I96" s="370">
        <f>H96*(1+'BDI - INFRAESTRUTURA'!$C$23)</f>
        <v>1.0426500000000001</v>
      </c>
      <c r="J96" s="370">
        <f t="shared" si="83"/>
        <v>16.8</v>
      </c>
      <c r="K96" s="370">
        <f t="shared" si="84"/>
        <v>33.6</v>
      </c>
      <c r="L96" s="371">
        <f t="shared" si="85"/>
        <v>50.399999999999991</v>
      </c>
      <c r="M96" s="371">
        <f t="shared" si="86"/>
        <v>58.388400000000004</v>
      </c>
      <c r="N96" s="397">
        <f t="shared" si="87"/>
        <v>2.4961641786233131E-3</v>
      </c>
      <c r="O96" s="575"/>
      <c r="P96" s="367"/>
    </row>
    <row r="97" spans="1:28" s="33" customFormat="1">
      <c r="A97" s="24"/>
      <c r="B97" s="24" t="s">
        <v>512</v>
      </c>
      <c r="C97" s="25" t="s">
        <v>957</v>
      </c>
      <c r="D97" s="26" t="s">
        <v>429</v>
      </c>
      <c r="E97" s="100">
        <v>485</v>
      </c>
      <c r="F97" s="370">
        <v>0.3</v>
      </c>
      <c r="G97" s="370">
        <v>0.12</v>
      </c>
      <c r="H97" s="370">
        <f t="shared" si="82"/>
        <v>0.42</v>
      </c>
      <c r="I97" s="370">
        <f>H97*(1+'BDI - INFRAESTRUTURA'!$C$23)</f>
        <v>0.48657</v>
      </c>
      <c r="J97" s="370">
        <f t="shared" si="83"/>
        <v>145.5</v>
      </c>
      <c r="K97" s="370">
        <f t="shared" si="84"/>
        <v>58.199999999999996</v>
      </c>
      <c r="L97" s="371">
        <f t="shared" si="85"/>
        <v>203.7</v>
      </c>
      <c r="M97" s="371">
        <f t="shared" si="86"/>
        <v>235.98644999999999</v>
      </c>
      <c r="N97" s="397">
        <f t="shared" si="87"/>
        <v>1.0088663555269224E-2</v>
      </c>
      <c r="O97" s="575"/>
      <c r="P97" s="367"/>
    </row>
    <row r="98" spans="1:28" s="33" customFormat="1">
      <c r="A98" s="24"/>
      <c r="B98" s="24" t="s">
        <v>513</v>
      </c>
      <c r="C98" s="25" t="s">
        <v>958</v>
      </c>
      <c r="D98" s="26" t="s">
        <v>429</v>
      </c>
      <c r="E98" s="100">
        <v>590</v>
      </c>
      <c r="F98" s="370">
        <v>0.3</v>
      </c>
      <c r="G98" s="370">
        <v>0.4</v>
      </c>
      <c r="H98" s="370">
        <f t="shared" si="82"/>
        <v>0.7</v>
      </c>
      <c r="I98" s="370">
        <f>H98*(1+'BDI - INFRAESTRUTURA'!$C$23)</f>
        <v>0.81095000000000006</v>
      </c>
      <c r="J98" s="370">
        <f t="shared" si="83"/>
        <v>177</v>
      </c>
      <c r="K98" s="370">
        <f t="shared" si="84"/>
        <v>236</v>
      </c>
      <c r="L98" s="371">
        <f t="shared" si="85"/>
        <v>413</v>
      </c>
      <c r="M98" s="371">
        <f t="shared" si="86"/>
        <v>478.46050000000002</v>
      </c>
      <c r="N98" s="397">
        <f t="shared" si="87"/>
        <v>2.0454678685941041E-2</v>
      </c>
      <c r="O98" s="575"/>
      <c r="P98" s="367"/>
    </row>
    <row r="99" spans="1:28" s="33" customFormat="1">
      <c r="A99" s="24"/>
      <c r="B99" s="24" t="s">
        <v>514</v>
      </c>
      <c r="C99" s="25" t="s">
        <v>959</v>
      </c>
      <c r="D99" s="26" t="s">
        <v>429</v>
      </c>
      <c r="E99" s="100">
        <v>82</v>
      </c>
      <c r="F99" s="370">
        <v>0.3</v>
      </c>
      <c r="G99" s="370">
        <v>0.5</v>
      </c>
      <c r="H99" s="370">
        <f t="shared" si="82"/>
        <v>0.8</v>
      </c>
      <c r="I99" s="370">
        <f>H99*(1+'BDI - INFRAESTRUTURA'!$C$23)</f>
        <v>0.92680000000000007</v>
      </c>
      <c r="J99" s="370">
        <f t="shared" si="83"/>
        <v>24.599999999999998</v>
      </c>
      <c r="K99" s="370">
        <f t="shared" si="84"/>
        <v>41</v>
      </c>
      <c r="L99" s="371">
        <f t="shared" si="85"/>
        <v>65.600000000000009</v>
      </c>
      <c r="M99" s="371">
        <f t="shared" si="86"/>
        <v>75.997600000000006</v>
      </c>
      <c r="N99" s="397">
        <f t="shared" si="87"/>
        <v>3.2489755975732013E-3</v>
      </c>
      <c r="O99" s="575"/>
      <c r="P99" s="367"/>
    </row>
    <row r="100" spans="1:28" s="33" customFormat="1">
      <c r="A100" s="24"/>
      <c r="B100" s="24" t="s">
        <v>515</v>
      </c>
      <c r="C100" s="25" t="s">
        <v>960</v>
      </c>
      <c r="D100" s="26" t="s">
        <v>429</v>
      </c>
      <c r="E100" s="100">
        <v>43</v>
      </c>
      <c r="F100" s="370">
        <v>0.3</v>
      </c>
      <c r="G100" s="370">
        <v>0.5</v>
      </c>
      <c r="H100" s="370">
        <f t="shared" si="82"/>
        <v>0.8</v>
      </c>
      <c r="I100" s="370">
        <f>H100*(1+'BDI - INFRAESTRUTURA'!$C$23)</f>
        <v>0.92680000000000007</v>
      </c>
      <c r="J100" s="370">
        <f t="shared" si="83"/>
        <v>12.9</v>
      </c>
      <c r="K100" s="370">
        <f t="shared" si="84"/>
        <v>21.5</v>
      </c>
      <c r="L100" s="371">
        <f t="shared" si="85"/>
        <v>34.4</v>
      </c>
      <c r="M100" s="371">
        <f t="shared" si="86"/>
        <v>39.852400000000003</v>
      </c>
      <c r="N100" s="397">
        <f t="shared" si="87"/>
        <v>1.7037311060444837E-3</v>
      </c>
      <c r="O100" s="575"/>
      <c r="P100" s="367"/>
    </row>
    <row r="101" spans="1:28" s="33" customFormat="1">
      <c r="A101" s="24"/>
      <c r="B101" s="24" t="s">
        <v>516</v>
      </c>
      <c r="C101" s="25" t="s">
        <v>961</v>
      </c>
      <c r="D101" s="26" t="s">
        <v>429</v>
      </c>
      <c r="E101" s="100">
        <v>20</v>
      </c>
      <c r="F101" s="370">
        <v>0.3</v>
      </c>
      <c r="G101" s="370">
        <v>1</v>
      </c>
      <c r="H101" s="370">
        <f t="shared" si="82"/>
        <v>1.3</v>
      </c>
      <c r="I101" s="370">
        <f>H101*(1+'BDI - INFRAESTRUTURA'!$C$23)</f>
        <v>1.5060500000000001</v>
      </c>
      <c r="J101" s="370">
        <f t="shared" si="83"/>
        <v>6</v>
      </c>
      <c r="K101" s="370">
        <f t="shared" si="84"/>
        <v>20</v>
      </c>
      <c r="L101" s="371">
        <f t="shared" si="85"/>
        <v>26</v>
      </c>
      <c r="M101" s="371">
        <f t="shared" si="86"/>
        <v>30.121000000000002</v>
      </c>
      <c r="N101" s="397">
        <f t="shared" si="87"/>
        <v>1.2877037429405982E-3</v>
      </c>
      <c r="O101" s="575"/>
      <c r="P101" s="367"/>
    </row>
    <row r="102" spans="1:28" s="33" customFormat="1">
      <c r="A102" s="24"/>
      <c r="B102" s="24" t="s">
        <v>517</v>
      </c>
      <c r="C102" s="25" t="s">
        <v>962</v>
      </c>
      <c r="D102" s="26" t="s">
        <v>429</v>
      </c>
      <c r="E102" s="100">
        <v>26</v>
      </c>
      <c r="F102" s="370">
        <v>0.3</v>
      </c>
      <c r="G102" s="370">
        <v>1</v>
      </c>
      <c r="H102" s="370">
        <f t="shared" si="82"/>
        <v>1.3</v>
      </c>
      <c r="I102" s="370">
        <f>H102*(1+'BDI - INFRAESTRUTURA'!$C$23)</f>
        <v>1.5060500000000001</v>
      </c>
      <c r="J102" s="370">
        <f t="shared" si="83"/>
        <v>7.8</v>
      </c>
      <c r="K102" s="370">
        <f t="shared" si="84"/>
        <v>26</v>
      </c>
      <c r="L102" s="371">
        <f t="shared" si="85"/>
        <v>33.800000000000004</v>
      </c>
      <c r="M102" s="371">
        <f t="shared" si="86"/>
        <v>39.157300000000006</v>
      </c>
      <c r="N102" s="397">
        <f t="shared" si="87"/>
        <v>1.6740148658227778E-3</v>
      </c>
      <c r="O102" s="575"/>
      <c r="P102" s="367"/>
    </row>
    <row r="103" spans="1:28" ht="15.75">
      <c r="A103" s="264"/>
      <c r="B103" s="56"/>
      <c r="C103" s="158" t="s">
        <v>220</v>
      </c>
      <c r="D103" s="56"/>
      <c r="E103" s="265"/>
      <c r="F103" s="373"/>
      <c r="G103" s="373"/>
      <c r="H103" s="373"/>
      <c r="I103" s="373"/>
      <c r="J103" s="373"/>
      <c r="K103" s="373"/>
      <c r="L103" s="372"/>
      <c r="M103" s="372">
        <f>SUM(M90:M102)</f>
        <v>23391.249862500001</v>
      </c>
      <c r="N103" s="398">
        <f>M103/$M$114</f>
        <v>2.243721816198118E-2</v>
      </c>
      <c r="O103" s="576"/>
      <c r="P103" s="33">
        <v>23391.249862499997</v>
      </c>
      <c r="Q103" s="39" t="str">
        <f>IF(P103=M103,"BOA GAROTO","FAZ BATER")</f>
        <v>BOA GAROTO</v>
      </c>
    </row>
    <row r="104" spans="1:28" s="19" customFormat="1">
      <c r="A104" s="380">
        <v>8</v>
      </c>
      <c r="B104" s="380"/>
      <c r="C104" s="381" t="s">
        <v>507</v>
      </c>
      <c r="D104" s="382"/>
      <c r="E104" s="383"/>
      <c r="F104" s="383"/>
      <c r="G104" s="383"/>
      <c r="H104" s="383"/>
      <c r="I104" s="383"/>
      <c r="J104" s="383"/>
      <c r="K104" s="383"/>
      <c r="L104" s="384"/>
      <c r="M104" s="384"/>
      <c r="N104" s="395"/>
      <c r="O104" s="396"/>
      <c r="Q104" s="263"/>
      <c r="R104" s="263"/>
      <c r="S104" s="263"/>
      <c r="T104" s="263"/>
      <c r="U104" s="263"/>
      <c r="V104" s="263"/>
      <c r="W104" s="263"/>
      <c r="X104" s="33"/>
      <c r="Y104" s="33"/>
      <c r="Z104" s="33"/>
      <c r="AA104" s="33"/>
      <c r="AB104" s="33"/>
    </row>
    <row r="105" spans="1:28" ht="25.5">
      <c r="A105" s="24"/>
      <c r="B105" s="24" t="s">
        <v>37</v>
      </c>
      <c r="C105" s="25" t="s">
        <v>1054</v>
      </c>
      <c r="D105" s="26" t="s">
        <v>218</v>
      </c>
      <c r="E105" s="100">
        <v>313.72000000000003</v>
      </c>
      <c r="F105" s="370">
        <v>2.5</v>
      </c>
      <c r="G105" s="370">
        <v>1.5905351789394864</v>
      </c>
      <c r="H105" s="370">
        <f t="shared" ref="H105" si="88">F105+G105</f>
        <v>4.0905351789394864</v>
      </c>
      <c r="I105" s="370">
        <f>H105*(1+'BDI - INFRAESTRUTURA'!$C$23)</f>
        <v>4.7388850048013955</v>
      </c>
      <c r="J105" s="370">
        <f t="shared" ref="J105" si="89">E105*F105</f>
        <v>784.30000000000007</v>
      </c>
      <c r="K105" s="370">
        <f t="shared" ref="K105" si="90">E105*G105</f>
        <v>498.98269633689569</v>
      </c>
      <c r="L105" s="371">
        <f t="shared" ref="L105" si="91">H105*E105</f>
        <v>1283.2826963368957</v>
      </c>
      <c r="M105" s="371">
        <f t="shared" ref="M105" si="92">I105*E105</f>
        <v>1486.6830037062939</v>
      </c>
      <c r="N105" s="397">
        <f>M105/$M$113</f>
        <v>0.10373761706809663</v>
      </c>
      <c r="O105" s="574">
        <f>M113/$M$115</f>
        <v>4.0160249999999995E-3</v>
      </c>
      <c r="P105" s="516"/>
      <c r="Q105" s="400"/>
      <c r="R105" s="400"/>
      <c r="S105" s="400"/>
      <c r="T105" s="400"/>
      <c r="U105" s="400"/>
      <c r="V105" s="400"/>
      <c r="W105" s="400"/>
    </row>
    <row r="106" spans="1:28" ht="25.5">
      <c r="A106" s="24"/>
      <c r="B106" s="24" t="s">
        <v>38</v>
      </c>
      <c r="C106" s="25" t="s">
        <v>1055</v>
      </c>
      <c r="D106" s="26" t="s">
        <v>218</v>
      </c>
      <c r="E106" s="100">
        <v>40.17</v>
      </c>
      <c r="F106" s="370">
        <v>3.5</v>
      </c>
      <c r="G106" s="370">
        <v>3.2</v>
      </c>
      <c r="H106" s="370">
        <f t="shared" ref="H106:H112" si="93">F106+G106</f>
        <v>6.7</v>
      </c>
      <c r="I106" s="370">
        <f>H106*(1+'BDI - INFRAESTRUTURA'!$C$23)</f>
        <v>7.7619500000000006</v>
      </c>
      <c r="J106" s="370">
        <f t="shared" ref="J106:J112" si="94">E106*F106</f>
        <v>140.595</v>
      </c>
      <c r="K106" s="370">
        <f t="shared" ref="K106:K112" si="95">E106*G106</f>
        <v>128.54400000000001</v>
      </c>
      <c r="L106" s="371">
        <f t="shared" ref="L106:L112" si="96">H106*E106</f>
        <v>269.13900000000001</v>
      </c>
      <c r="M106" s="371">
        <f t="shared" ref="M106:M112" si="97">I106*E106</f>
        <v>311.79753150000005</v>
      </c>
      <c r="N106" s="397">
        <f t="shared" ref="N106:N112" si="98">M106/$M$113</f>
        <v>2.1756576785292182E-2</v>
      </c>
      <c r="O106" s="575"/>
      <c r="P106" s="516"/>
      <c r="Q106" s="400"/>
      <c r="R106" s="400"/>
      <c r="S106" s="400"/>
      <c r="T106" s="400"/>
      <c r="U106" s="400"/>
      <c r="V106" s="400"/>
      <c r="W106" s="400"/>
    </row>
    <row r="107" spans="1:28" ht="25.5">
      <c r="A107" s="24"/>
      <c r="B107" s="24" t="s">
        <v>39</v>
      </c>
      <c r="C107" s="25" t="s">
        <v>1056</v>
      </c>
      <c r="D107" s="26" t="s">
        <v>693</v>
      </c>
      <c r="E107" s="100">
        <v>10</v>
      </c>
      <c r="F107" s="370">
        <v>0.6</v>
      </c>
      <c r="G107" s="370">
        <v>2.2727272727272729</v>
      </c>
      <c r="H107" s="370">
        <f t="shared" si="93"/>
        <v>2.872727272727273</v>
      </c>
      <c r="I107" s="370">
        <f>H107*(1+'BDI - INFRAESTRUTURA'!$C$23)</f>
        <v>3.3280545454545458</v>
      </c>
      <c r="J107" s="370">
        <f t="shared" si="94"/>
        <v>6</v>
      </c>
      <c r="K107" s="370">
        <f t="shared" si="95"/>
        <v>22.72727272727273</v>
      </c>
      <c r="L107" s="371">
        <f t="shared" si="96"/>
        <v>28.72727272727273</v>
      </c>
      <c r="M107" s="371">
        <f t="shared" si="97"/>
        <v>33.280545454545461</v>
      </c>
      <c r="N107" s="397">
        <f t="shared" si="98"/>
        <v>2.3222465526101348E-3</v>
      </c>
      <c r="O107" s="575"/>
      <c r="P107" s="516"/>
      <c r="Q107" s="400"/>
      <c r="R107" s="400"/>
      <c r="S107" s="400"/>
      <c r="T107" s="400"/>
      <c r="U107" s="400"/>
      <c r="V107" s="400"/>
      <c r="W107" s="400"/>
    </row>
    <row r="108" spans="1:28">
      <c r="A108" s="24"/>
      <c r="B108" s="24" t="s">
        <v>403</v>
      </c>
      <c r="C108" s="25" t="s">
        <v>1057</v>
      </c>
      <c r="D108" s="26" t="s">
        <v>218</v>
      </c>
      <c r="E108" s="100">
        <v>1616.89</v>
      </c>
      <c r="F108" s="370">
        <v>0.2</v>
      </c>
      <c r="G108" s="370">
        <v>0.8</v>
      </c>
      <c r="H108" s="370">
        <f t="shared" si="93"/>
        <v>1</v>
      </c>
      <c r="I108" s="370">
        <f>H108*(1+'BDI - INFRAESTRUTURA'!$C$23)</f>
        <v>1.1585000000000001</v>
      </c>
      <c r="J108" s="370">
        <f t="shared" si="94"/>
        <v>323.37800000000004</v>
      </c>
      <c r="K108" s="370">
        <f t="shared" si="95"/>
        <v>1293.5120000000002</v>
      </c>
      <c r="L108" s="371">
        <f t="shared" si="96"/>
        <v>1616.89</v>
      </c>
      <c r="M108" s="371">
        <f t="shared" si="97"/>
        <v>1873.1670650000003</v>
      </c>
      <c r="N108" s="397">
        <f t="shared" si="98"/>
        <v>0.13070566301565761</v>
      </c>
      <c r="O108" s="575"/>
      <c r="P108" s="516"/>
      <c r="Q108" s="400"/>
      <c r="R108" s="400"/>
      <c r="S108" s="400"/>
      <c r="T108" s="400"/>
      <c r="U108" s="400"/>
      <c r="V108" s="400"/>
      <c r="W108" s="400"/>
    </row>
    <row r="109" spans="1:28">
      <c r="A109" s="24"/>
      <c r="B109" s="24" t="s">
        <v>405</v>
      </c>
      <c r="C109" s="25" t="s">
        <v>1058</v>
      </c>
      <c r="D109" s="26" t="s">
        <v>218</v>
      </c>
      <c r="E109" s="100">
        <v>1011.15</v>
      </c>
      <c r="F109" s="370">
        <v>1.3</v>
      </c>
      <c r="G109" s="370">
        <v>1.2</v>
      </c>
      <c r="H109" s="370">
        <f t="shared" si="93"/>
        <v>2.5</v>
      </c>
      <c r="I109" s="370">
        <f>H109*(1+'BDI - INFRAESTRUTURA'!$C$23)</f>
        <v>2.8962500000000002</v>
      </c>
      <c r="J109" s="370">
        <f t="shared" si="94"/>
        <v>1314.4950000000001</v>
      </c>
      <c r="K109" s="370">
        <f t="shared" si="95"/>
        <v>1213.3799999999999</v>
      </c>
      <c r="L109" s="371">
        <f t="shared" si="96"/>
        <v>2527.875</v>
      </c>
      <c r="M109" s="371">
        <f t="shared" si="97"/>
        <v>2928.5431874999999</v>
      </c>
      <c r="N109" s="397">
        <f t="shared" si="98"/>
        <v>0.20434759191763535</v>
      </c>
      <c r="O109" s="575"/>
      <c r="P109" s="516"/>
      <c r="Q109" s="400"/>
      <c r="R109" s="400"/>
      <c r="S109" s="400"/>
      <c r="T109" s="400"/>
      <c r="U109" s="400"/>
      <c r="V109" s="400"/>
      <c r="W109" s="400"/>
    </row>
    <row r="110" spans="1:28">
      <c r="A110" s="24"/>
      <c r="B110" s="24" t="s">
        <v>1068</v>
      </c>
      <c r="C110" s="25" t="s">
        <v>1062</v>
      </c>
      <c r="D110" s="26" t="s">
        <v>693</v>
      </c>
      <c r="E110" s="100">
        <v>44</v>
      </c>
      <c r="F110" s="370">
        <v>132.83073487148661</v>
      </c>
      <c r="G110" s="370">
        <v>0.68181818181818177</v>
      </c>
      <c r="H110" s="370">
        <f t="shared" si="93"/>
        <v>133.5125530533048</v>
      </c>
      <c r="I110" s="370">
        <f>H110*(1+'BDI - INFRAESTRUTURA'!$C$23)</f>
        <v>154.67429271225362</v>
      </c>
      <c r="J110" s="370">
        <f t="shared" si="94"/>
        <v>5844.5523343454106</v>
      </c>
      <c r="K110" s="370">
        <f t="shared" si="95"/>
        <v>29.999999999999996</v>
      </c>
      <c r="L110" s="371">
        <f t="shared" si="96"/>
        <v>5874.5523343454115</v>
      </c>
      <c r="M110" s="371">
        <f t="shared" si="97"/>
        <v>6805.6688793391595</v>
      </c>
      <c r="N110" s="397">
        <f t="shared" si="98"/>
        <v>0.4748852783929618</v>
      </c>
      <c r="O110" s="575"/>
      <c r="P110" s="516"/>
      <c r="Q110" s="400"/>
      <c r="R110" s="400"/>
      <c r="S110" s="400"/>
      <c r="T110" s="400"/>
      <c r="U110" s="400"/>
      <c r="V110" s="400"/>
      <c r="W110" s="400"/>
    </row>
    <row r="111" spans="1:28" ht="25.5">
      <c r="A111" s="24"/>
      <c r="B111" s="24" t="s">
        <v>1069</v>
      </c>
      <c r="C111" s="25" t="s">
        <v>1063</v>
      </c>
      <c r="D111" s="26" t="s">
        <v>693</v>
      </c>
      <c r="E111" s="100">
        <v>49</v>
      </c>
      <c r="F111" s="370">
        <v>15</v>
      </c>
      <c r="G111" s="370">
        <v>0.4</v>
      </c>
      <c r="H111" s="370">
        <f t="shared" si="93"/>
        <v>15.4</v>
      </c>
      <c r="I111" s="370">
        <f>H111*(1+'BDI - INFRAESTRUTURA'!$C$23)</f>
        <v>17.840900000000001</v>
      </c>
      <c r="J111" s="370">
        <f t="shared" si="94"/>
        <v>735</v>
      </c>
      <c r="K111" s="370">
        <f t="shared" si="95"/>
        <v>19.600000000000001</v>
      </c>
      <c r="L111" s="371">
        <f t="shared" si="96"/>
        <v>754.6</v>
      </c>
      <c r="M111" s="371">
        <f t="shared" si="97"/>
        <v>874.20410000000004</v>
      </c>
      <c r="N111" s="397">
        <f t="shared" si="98"/>
        <v>6.1000125742391394E-2</v>
      </c>
      <c r="O111" s="575"/>
      <c r="P111" s="516"/>
      <c r="Q111" s="400"/>
      <c r="R111" s="400"/>
      <c r="S111" s="400"/>
      <c r="T111" s="400"/>
      <c r="U111" s="400"/>
      <c r="V111" s="400"/>
      <c r="W111" s="400"/>
    </row>
    <row r="112" spans="1:28">
      <c r="A112" s="24"/>
      <c r="B112" s="24" t="s">
        <v>1070</v>
      </c>
      <c r="C112" s="25" t="s">
        <v>1064</v>
      </c>
      <c r="D112" s="26" t="s">
        <v>693</v>
      </c>
      <c r="E112" s="100">
        <v>1</v>
      </c>
      <c r="F112" s="370">
        <v>15</v>
      </c>
      <c r="G112" s="370">
        <v>0.4</v>
      </c>
      <c r="H112" s="370">
        <f t="shared" si="93"/>
        <v>15.4</v>
      </c>
      <c r="I112" s="370">
        <f>H112*(1+'BDI - INFRAESTRUTURA'!$C$23)</f>
        <v>17.840900000000001</v>
      </c>
      <c r="J112" s="370">
        <f t="shared" si="94"/>
        <v>15</v>
      </c>
      <c r="K112" s="370">
        <f t="shared" si="95"/>
        <v>0.4</v>
      </c>
      <c r="L112" s="371">
        <f t="shared" si="96"/>
        <v>15.4</v>
      </c>
      <c r="M112" s="371">
        <f t="shared" si="97"/>
        <v>17.840900000000001</v>
      </c>
      <c r="N112" s="397">
        <f t="shared" si="98"/>
        <v>1.2449005253549264E-3</v>
      </c>
      <c r="O112" s="575"/>
      <c r="P112" s="516"/>
      <c r="Q112" s="400"/>
      <c r="R112" s="400"/>
      <c r="S112" s="400"/>
      <c r="T112" s="400"/>
      <c r="U112" s="400"/>
      <c r="V112" s="400"/>
      <c r="W112" s="400"/>
    </row>
    <row r="113" spans="1:23" ht="15.75">
      <c r="A113" s="264"/>
      <c r="B113" s="56"/>
      <c r="C113" s="158" t="s">
        <v>220</v>
      </c>
      <c r="D113" s="56"/>
      <c r="E113" s="265"/>
      <c r="F113" s="373"/>
      <c r="G113" s="373"/>
      <c r="H113" s="373"/>
      <c r="I113" s="373"/>
      <c r="J113" s="373"/>
      <c r="K113" s="373"/>
      <c r="L113" s="374"/>
      <c r="M113" s="372">
        <f>SUM(M105:M112)</f>
        <v>14331.185212499999</v>
      </c>
      <c r="N113" s="398">
        <f>M113/$M$114</f>
        <v>1.3746675830611404E-2</v>
      </c>
      <c r="O113" s="576"/>
      <c r="P113" s="19">
        <v>14331.1852125</v>
      </c>
      <c r="Q113" s="39" t="str">
        <f>IF(P113=M113,"BOA GAROTO","FAZ BATER")</f>
        <v>BOA GAROTO</v>
      </c>
    </row>
    <row r="114" spans="1:23" ht="12.75" customHeight="1">
      <c r="A114" s="558" t="s">
        <v>45</v>
      </c>
      <c r="B114" s="559"/>
      <c r="C114" s="559"/>
      <c r="D114" s="559"/>
      <c r="E114" s="559"/>
      <c r="F114" s="559"/>
      <c r="G114" s="559"/>
      <c r="H114" s="559"/>
      <c r="I114" s="559"/>
      <c r="J114" s="559"/>
      <c r="K114" s="559"/>
      <c r="L114" s="560"/>
      <c r="M114" s="384">
        <f>M17+M25+M47+M57+M62+M88+M103+M113</f>
        <v>1042520.0527815602</v>
      </c>
      <c r="N114" s="385"/>
      <c r="O114" s="395">
        <f>M114/$M$115</f>
        <v>0.2921451738213704</v>
      </c>
      <c r="P114" s="263"/>
      <c r="Q114" s="33"/>
      <c r="R114" s="33"/>
      <c r="S114" s="33"/>
      <c r="T114" s="33"/>
      <c r="U114" s="33"/>
      <c r="V114" s="33"/>
      <c r="W114" s="33"/>
    </row>
    <row r="115" spans="1:23">
      <c r="A115" s="558" t="s">
        <v>669</v>
      </c>
      <c r="B115" s="559"/>
      <c r="C115" s="559"/>
      <c r="D115" s="559"/>
      <c r="E115" s="559"/>
      <c r="F115" s="559"/>
      <c r="G115" s="559"/>
      <c r="H115" s="559"/>
      <c r="I115" s="559"/>
      <c r="J115" s="559"/>
      <c r="K115" s="559"/>
      <c r="L115" s="560"/>
      <c r="M115" s="384">
        <f>'TABELA DE MEDIÇÃO E FATURAMENTO'!G10</f>
        <v>3568500</v>
      </c>
      <c r="N115" s="385"/>
      <c r="O115" s="384"/>
      <c r="P115" s="237">
        <v>1043786.2499999999</v>
      </c>
      <c r="Q115" s="39" t="str">
        <f>IF(P115=M114,"BOA GAROTO","FAZ BATER")</f>
        <v>FAZ BATER</v>
      </c>
    </row>
    <row r="116" spans="1:23">
      <c r="A116" s="32"/>
      <c r="B116" s="32"/>
      <c r="C116" s="32"/>
      <c r="D116" s="32"/>
      <c r="E116" s="101"/>
      <c r="F116" s="101"/>
      <c r="G116" s="101"/>
      <c r="H116" s="101"/>
      <c r="I116" s="101"/>
      <c r="J116" s="101"/>
      <c r="K116" s="101"/>
      <c r="L116" s="32"/>
      <c r="M116" s="32"/>
      <c r="N116" s="391"/>
      <c r="O116" s="32"/>
    </row>
    <row r="117" spans="1:23">
      <c r="A117" s="94"/>
      <c r="B117" s="94"/>
      <c r="C117" s="94"/>
      <c r="D117" s="94"/>
      <c r="E117" s="101"/>
      <c r="F117" s="101"/>
      <c r="G117" s="101"/>
      <c r="H117" s="101"/>
      <c r="L117" s="94"/>
      <c r="M117" s="94"/>
      <c r="N117" s="392"/>
      <c r="O117" s="159"/>
    </row>
    <row r="118" spans="1:23">
      <c r="A118" s="94"/>
      <c r="B118" s="94"/>
      <c r="C118" s="94"/>
      <c r="M118" s="431" t="s">
        <v>178</v>
      </c>
      <c r="N118" s="431"/>
      <c r="O118" s="431"/>
    </row>
    <row r="119" spans="1:23">
      <c r="M119" s="430" t="s">
        <v>790</v>
      </c>
      <c r="N119" s="430"/>
      <c r="O119" s="430"/>
    </row>
    <row r="120" spans="1:23">
      <c r="M120" s="430" t="s">
        <v>791</v>
      </c>
      <c r="N120" s="430"/>
      <c r="O120" s="430"/>
    </row>
    <row r="121" spans="1:23">
      <c r="M121" s="430" t="s">
        <v>177</v>
      </c>
      <c r="N121" s="430"/>
      <c r="O121" s="430"/>
    </row>
    <row r="122" spans="1:23">
      <c r="M122" s="557" t="s">
        <v>792</v>
      </c>
      <c r="N122" s="557"/>
      <c r="O122" s="557"/>
    </row>
  </sheetData>
  <mergeCells count="13">
    <mergeCell ref="M122:O122"/>
    <mergeCell ref="A114:L114"/>
    <mergeCell ref="A2:O2"/>
    <mergeCell ref="A4:O4"/>
    <mergeCell ref="A115:L115"/>
    <mergeCell ref="O13:O17"/>
    <mergeCell ref="O27:O47"/>
    <mergeCell ref="O19:O25"/>
    <mergeCell ref="O49:O57"/>
    <mergeCell ref="O59:O62"/>
    <mergeCell ref="O64:O88"/>
    <mergeCell ref="O90:O103"/>
    <mergeCell ref="O105:O113"/>
  </mergeCells>
  <phoneticPr fontId="71" type="noConversion"/>
  <pageMargins left="0.511811024" right="0.511811024" top="0.78740157499999996" bottom="0.78740157499999996" header="0.31496062000000002" footer="0.31496062000000002"/>
  <pageSetup paperSize="9" scale="61" fitToHeight="0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B6DEF-32B6-4A7D-864D-D1D36797B2D4}">
  <sheetPr>
    <tabColor rgb="FF00B050"/>
    <pageSetUpPr fitToPage="1"/>
  </sheetPr>
  <dimension ref="A1:AB159"/>
  <sheetViews>
    <sheetView view="pageBreakPreview" topLeftCell="A139" zoomScaleNormal="100" zoomScaleSheetLayoutView="100" workbookViewId="0">
      <selection activeCell="C24" sqref="C24"/>
    </sheetView>
  </sheetViews>
  <sheetFormatPr defaultColWidth="10.42578125" defaultRowHeight="12.75"/>
  <cols>
    <col min="1" max="1" width="4.85546875" style="28" bestFit="1" customWidth="1"/>
    <col min="2" max="2" width="7.28515625" style="28" bestFit="1" customWidth="1"/>
    <col min="3" max="3" width="60.7109375" style="438" customWidth="1"/>
    <col min="4" max="4" width="5" style="30" bestFit="1" customWidth="1"/>
    <col min="5" max="5" width="7.42578125" style="102" bestFit="1" customWidth="1"/>
    <col min="6" max="7" width="11.7109375" style="102" bestFit="1" customWidth="1"/>
    <col min="8" max="8" width="14.7109375" style="102" customWidth="1"/>
    <col min="9" max="11" width="11.7109375" style="102" bestFit="1" customWidth="1"/>
    <col min="12" max="12" width="12.7109375" style="31" bestFit="1" customWidth="1"/>
    <col min="13" max="13" width="14.28515625" style="31" bestFit="1" customWidth="1"/>
    <col min="14" max="14" width="10" style="393" bestFit="1" customWidth="1"/>
    <col min="15" max="15" width="14.140625" style="393" hidden="1" customWidth="1"/>
    <col min="16" max="18" width="10" style="393" hidden="1" customWidth="1"/>
    <col min="19" max="19" width="11.7109375" style="5" bestFit="1" customWidth="1"/>
    <col min="20" max="20" width="13.85546875" style="364" bestFit="1" customWidth="1"/>
    <col min="21" max="22" width="12" style="5" bestFit="1" customWidth="1"/>
    <col min="23" max="23" width="13.140625" style="5" bestFit="1" customWidth="1"/>
    <col min="24" max="26" width="10.42578125" style="5" customWidth="1"/>
    <col min="27" max="27" width="49.85546875" style="5" customWidth="1"/>
    <col min="28" max="28" width="11.42578125" style="5" bestFit="1" customWidth="1"/>
    <col min="29" max="16384" width="10.42578125" style="5"/>
  </cols>
  <sheetData>
    <row r="1" spans="1:26" ht="9.75" customHeight="1">
      <c r="A1" s="9"/>
      <c r="B1" s="9"/>
      <c r="C1" s="432"/>
      <c r="D1" s="11"/>
      <c r="E1" s="96"/>
      <c r="F1" s="96"/>
      <c r="G1" s="96"/>
      <c r="H1" s="96"/>
      <c r="I1" s="96"/>
      <c r="J1" s="96"/>
      <c r="K1" s="96"/>
      <c r="L1" s="6"/>
      <c r="M1" s="6"/>
      <c r="N1" s="386"/>
      <c r="O1" s="386"/>
      <c r="P1" s="386"/>
      <c r="Q1" s="386"/>
      <c r="R1" s="386"/>
      <c r="U1" s="19">
        <v>0.445318604684113</v>
      </c>
      <c r="V1" s="33">
        <f>U1/100</f>
        <v>4.4531860468411295E-3</v>
      </c>
    </row>
    <row r="2" spans="1:26" ht="15.75" customHeight="1">
      <c r="A2" s="550" t="s">
        <v>489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19"/>
      <c r="P2" s="519"/>
      <c r="Q2" s="519"/>
      <c r="R2" s="519"/>
      <c r="U2" s="19">
        <v>0.50256577550272663</v>
      </c>
      <c r="V2" s="33">
        <f t="shared" ref="V2:V8" si="0">U2/100</f>
        <v>5.0256577550272666E-3</v>
      </c>
    </row>
    <row r="3" spans="1:26" ht="15" customHeight="1">
      <c r="A3" s="424"/>
      <c r="B3" s="424"/>
      <c r="C3" s="433"/>
      <c r="D3" s="15"/>
      <c r="E3" s="97"/>
      <c r="F3" s="97"/>
      <c r="G3" s="97"/>
      <c r="H3" s="97"/>
      <c r="I3" s="97"/>
      <c r="J3" s="97"/>
      <c r="K3" s="97"/>
      <c r="L3" s="16"/>
      <c r="M3" s="16"/>
      <c r="N3" s="387"/>
      <c r="O3" s="387"/>
      <c r="P3" s="387"/>
      <c r="Q3" s="387"/>
      <c r="R3" s="387"/>
      <c r="U3" s="5">
        <v>0.23914358735142552</v>
      </c>
      <c r="V3" s="33">
        <f t="shared" si="0"/>
        <v>2.3914358735142552E-3</v>
      </c>
    </row>
    <row r="4" spans="1:26" ht="15.75">
      <c r="A4" s="551" t="s">
        <v>807</v>
      </c>
      <c r="B4" s="551"/>
      <c r="C4" s="551"/>
      <c r="D4" s="551"/>
      <c r="E4" s="551"/>
      <c r="F4" s="551"/>
      <c r="G4" s="551"/>
      <c r="H4" s="551"/>
      <c r="I4" s="551"/>
      <c r="J4" s="551"/>
      <c r="K4" s="551"/>
      <c r="L4" s="551"/>
      <c r="M4" s="551"/>
      <c r="N4" s="551"/>
      <c r="O4" s="520"/>
      <c r="P4" s="520"/>
      <c r="Q4" s="520"/>
      <c r="R4" s="520"/>
      <c r="U4" s="5">
        <v>0.91295308296193578</v>
      </c>
      <c r="V4" s="33">
        <f t="shared" si="0"/>
        <v>9.1295308296193579E-3</v>
      </c>
      <c r="W4" s="5" t="s">
        <v>967</v>
      </c>
    </row>
    <row r="5" spans="1:26" s="275" customFormat="1" ht="15">
      <c r="A5" s="267" t="s">
        <v>527</v>
      </c>
      <c r="B5" s="268"/>
      <c r="C5" s="434"/>
      <c r="D5" s="270"/>
      <c r="E5" s="271"/>
      <c r="F5" s="272"/>
      <c r="G5" s="273"/>
      <c r="H5" s="272"/>
      <c r="I5" s="272"/>
      <c r="J5" s="272"/>
      <c r="K5" s="272"/>
      <c r="L5" s="272"/>
      <c r="M5" s="272"/>
      <c r="N5" s="388"/>
      <c r="O5" s="388"/>
      <c r="P5" s="388"/>
      <c r="Q5" s="388"/>
      <c r="R5" s="388"/>
      <c r="T5" s="365"/>
      <c r="U5" s="275">
        <v>0.43911006610599734</v>
      </c>
      <c r="V5" s="33">
        <f t="shared" si="0"/>
        <v>4.3911006610599735E-3</v>
      </c>
    </row>
    <row r="6" spans="1:26" s="275" customFormat="1" ht="15">
      <c r="A6" s="267" t="s">
        <v>532</v>
      </c>
      <c r="B6" s="268"/>
      <c r="C6" s="434"/>
      <c r="D6" s="270"/>
      <c r="E6" s="271"/>
      <c r="F6" s="272"/>
      <c r="G6" s="273"/>
      <c r="H6" s="272"/>
      <c r="I6" s="272"/>
      <c r="J6" s="272"/>
      <c r="K6" s="272"/>
      <c r="L6" s="272"/>
      <c r="M6" s="272"/>
      <c r="N6" s="388"/>
      <c r="O6" s="388"/>
      <c r="P6" s="388"/>
      <c r="Q6" s="388"/>
      <c r="R6" s="388"/>
      <c r="T6" s="365"/>
      <c r="U6" s="275">
        <v>1.3924670703684465E-2</v>
      </c>
      <c r="V6" s="33">
        <f t="shared" si="0"/>
        <v>1.3924670703684464E-4</v>
      </c>
    </row>
    <row r="7" spans="1:26" s="275" customFormat="1" ht="15">
      <c r="A7" s="267" t="s">
        <v>530</v>
      </c>
      <c r="B7" s="268"/>
      <c r="C7" s="434"/>
      <c r="D7" s="270"/>
      <c r="E7" s="271"/>
      <c r="F7" s="272"/>
      <c r="G7" s="273"/>
      <c r="H7" s="272"/>
      <c r="I7" s="272"/>
      <c r="J7" s="272"/>
      <c r="K7" s="272"/>
      <c r="L7" s="272"/>
      <c r="M7" s="272"/>
      <c r="N7" s="388"/>
      <c r="O7" s="388"/>
      <c r="P7" s="388"/>
      <c r="Q7" s="388"/>
      <c r="R7" s="388"/>
      <c r="T7" s="365"/>
      <c r="U7" s="275">
        <v>0.20959538499121352</v>
      </c>
      <c r="V7" s="33">
        <f t="shared" si="0"/>
        <v>2.0959538499121353E-3</v>
      </c>
    </row>
    <row r="8" spans="1:26" s="275" customFormat="1" ht="15">
      <c r="A8" s="267" t="s">
        <v>531</v>
      </c>
      <c r="B8" s="268"/>
      <c r="C8" s="434"/>
      <c r="D8" s="270"/>
      <c r="E8" s="271"/>
      <c r="F8" s="272"/>
      <c r="G8" s="273"/>
      <c r="H8" s="272"/>
      <c r="I8" s="272"/>
      <c r="J8" s="272"/>
      <c r="K8" s="272"/>
      <c r="L8" s="272"/>
      <c r="M8" s="272"/>
      <c r="N8" s="388"/>
      <c r="O8" s="388"/>
      <c r="P8" s="388"/>
      <c r="Q8" s="388"/>
      <c r="R8" s="388"/>
      <c r="T8" s="365"/>
      <c r="U8" s="275">
        <v>0.1618742969303319</v>
      </c>
      <c r="V8" s="33">
        <f t="shared" si="0"/>
        <v>1.6187429693033189E-3</v>
      </c>
    </row>
    <row r="9" spans="1:26" ht="25.5">
      <c r="A9" s="2" t="s">
        <v>202</v>
      </c>
      <c r="B9" s="2" t="s">
        <v>203</v>
      </c>
      <c r="C9" s="435" t="s">
        <v>204</v>
      </c>
      <c r="D9" s="3" t="s">
        <v>205</v>
      </c>
      <c r="E9" s="98" t="s">
        <v>206</v>
      </c>
      <c r="F9" s="98" t="s">
        <v>493</v>
      </c>
      <c r="G9" s="98" t="s">
        <v>494</v>
      </c>
      <c r="H9" s="98" t="s">
        <v>491</v>
      </c>
      <c r="I9" s="98" t="s">
        <v>492</v>
      </c>
      <c r="J9" s="98" t="s">
        <v>495</v>
      </c>
      <c r="K9" s="98" t="s">
        <v>496</v>
      </c>
      <c r="L9" s="4" t="s">
        <v>497</v>
      </c>
      <c r="M9" s="92" t="s">
        <v>498</v>
      </c>
      <c r="N9" s="389" t="s">
        <v>788</v>
      </c>
      <c r="O9" s="530"/>
      <c r="P9" s="530"/>
      <c r="Q9" s="530"/>
      <c r="R9" s="530"/>
    </row>
    <row r="10" spans="1:26" s="63" customFormat="1">
      <c r="A10" s="64"/>
      <c r="B10" s="64"/>
      <c r="C10" s="436"/>
      <c r="D10" s="65"/>
      <c r="E10" s="99"/>
      <c r="F10" s="99"/>
      <c r="G10" s="99"/>
      <c r="H10" s="99"/>
      <c r="I10" s="99"/>
      <c r="J10" s="99"/>
      <c r="K10" s="99"/>
      <c r="L10" s="66"/>
      <c r="M10" s="66"/>
      <c r="N10" s="390"/>
      <c r="O10" s="390"/>
      <c r="P10" s="390"/>
      <c r="Q10" s="390"/>
      <c r="R10" s="390"/>
      <c r="S10" s="5"/>
      <c r="T10" s="366"/>
    </row>
    <row r="11" spans="1:26" s="19" customFormat="1">
      <c r="A11" s="380">
        <v>1</v>
      </c>
      <c r="B11" s="380"/>
      <c r="C11" s="437" t="s">
        <v>698</v>
      </c>
      <c r="D11" s="382" t="s">
        <v>41</v>
      </c>
      <c r="E11" s="383"/>
      <c r="F11" s="383"/>
      <c r="G11" s="383"/>
      <c r="H11" s="383"/>
      <c r="I11" s="383"/>
      <c r="J11" s="383"/>
      <c r="K11" s="383"/>
      <c r="L11" s="384" t="s">
        <v>41</v>
      </c>
      <c r="M11" s="384"/>
      <c r="N11" s="395"/>
      <c r="O11" s="531"/>
      <c r="P11" s="531"/>
      <c r="Q11" s="531"/>
      <c r="R11" s="531"/>
      <c r="S11" s="5"/>
      <c r="T11" s="367"/>
      <c r="U11" s="263"/>
      <c r="V11" s="33"/>
      <c r="W11" s="33"/>
      <c r="X11" s="33"/>
      <c r="Y11" s="33"/>
      <c r="Z11" s="33"/>
    </row>
    <row r="12" spans="1:26" s="19" customFormat="1" ht="15.75">
      <c r="A12" s="380"/>
      <c r="B12" s="380" t="s">
        <v>51</v>
      </c>
      <c r="C12" s="437" t="s">
        <v>700</v>
      </c>
      <c r="D12" s="382"/>
      <c r="E12" s="383"/>
      <c r="F12" s="383"/>
      <c r="G12" s="383"/>
      <c r="H12" s="383"/>
      <c r="I12" s="383"/>
      <c r="J12" s="383"/>
      <c r="K12" s="383"/>
      <c r="L12" s="384"/>
      <c r="M12" s="384"/>
      <c r="N12" s="577">
        <f>M66/$M$148</f>
        <v>3.523409999999999E-2</v>
      </c>
      <c r="O12" s="532"/>
      <c r="P12" s="532"/>
      <c r="Q12" s="532"/>
      <c r="R12" s="532"/>
      <c r="S12" s="5"/>
      <c r="X12" s="33"/>
      <c r="Y12" s="33"/>
      <c r="Z12" s="33"/>
    </row>
    <row r="13" spans="1:26" s="19" customFormat="1" ht="15.75">
      <c r="A13" s="24"/>
      <c r="B13" s="24" t="s">
        <v>64</v>
      </c>
      <c r="C13" s="403" t="s">
        <v>699</v>
      </c>
      <c r="D13" s="26" t="s">
        <v>212</v>
      </c>
      <c r="E13" s="100">
        <v>218.47</v>
      </c>
      <c r="F13" s="370">
        <f>G13*1.5</f>
        <v>5.9200472880053159</v>
      </c>
      <c r="G13" s="370">
        <v>3.9466981920035438</v>
      </c>
      <c r="H13" s="370">
        <f t="shared" ref="H13:H14" si="1">F13+G13</f>
        <v>9.8667454800088592</v>
      </c>
      <c r="I13" s="370">
        <f>H13*(1+'BDI - HABITAÇÃO'!$C$22)</f>
        <v>12.511033268651234</v>
      </c>
      <c r="J13" s="370">
        <f>E13*F13</f>
        <v>1293.3527310105214</v>
      </c>
      <c r="K13" s="370">
        <f>E13*G13</f>
        <v>862.23515400701422</v>
      </c>
      <c r="L13" s="371">
        <f>H13*E13</f>
        <v>2155.5878850175354</v>
      </c>
      <c r="M13" s="371">
        <f>I13*E13</f>
        <v>2733.2854382022351</v>
      </c>
      <c r="N13" s="578"/>
      <c r="O13" s="532"/>
      <c r="P13" s="532"/>
      <c r="Q13" s="532"/>
      <c r="R13" s="532"/>
      <c r="S13" s="19">
        <v>17.2</v>
      </c>
      <c r="T13" s="19">
        <f>S13/100</f>
        <v>0.17199999999999999</v>
      </c>
      <c r="U13" s="439">
        <f>T13*$T$16</f>
        <v>2733.2854382022419</v>
      </c>
      <c r="V13" s="19">
        <v>2733.2854382022401</v>
      </c>
      <c r="X13" s="33"/>
      <c r="Y13" s="33"/>
      <c r="Z13" s="33"/>
    </row>
    <row r="14" spans="1:26" s="19" customFormat="1" ht="15.75">
      <c r="A14" s="24"/>
      <c r="B14" s="24" t="s">
        <v>65</v>
      </c>
      <c r="C14" s="403" t="s">
        <v>953</v>
      </c>
      <c r="D14" s="26" t="s">
        <v>214</v>
      </c>
      <c r="E14" s="100">
        <v>3.15</v>
      </c>
      <c r="F14" s="370">
        <f>G14*1.5</f>
        <v>1241.3130677841859</v>
      </c>
      <c r="G14" s="370">
        <v>827.54204518945721</v>
      </c>
      <c r="H14" s="370">
        <f t="shared" si="1"/>
        <v>2068.8551129736434</v>
      </c>
      <c r="I14" s="370">
        <f>H14*(1+'BDI - HABITAÇÃO'!$C$22)</f>
        <v>2623.3082832505797</v>
      </c>
      <c r="J14" s="370">
        <f>E14*F14</f>
        <v>3910.1361635201856</v>
      </c>
      <c r="K14" s="370">
        <f>E14*G14</f>
        <v>2606.75744234679</v>
      </c>
      <c r="L14" s="371">
        <f>H14*E14</f>
        <v>6516.893605866976</v>
      </c>
      <c r="M14" s="371">
        <f>I14*E14</f>
        <v>8263.4210922393268</v>
      </c>
      <c r="N14" s="578"/>
      <c r="O14" s="532"/>
      <c r="P14" s="532"/>
      <c r="Q14" s="532"/>
      <c r="R14" s="532"/>
      <c r="S14" s="19">
        <f>26*2</f>
        <v>52</v>
      </c>
      <c r="T14" s="19">
        <f t="shared" ref="T14:T65" si="2">S14/100</f>
        <v>0.52</v>
      </c>
      <c r="U14" s="439">
        <f>T14*$T$16</f>
        <v>8263.4210922393377</v>
      </c>
      <c r="V14" s="439">
        <v>8263.4210922393395</v>
      </c>
      <c r="Y14" s="33"/>
      <c r="Z14" s="33"/>
    </row>
    <row r="15" spans="1:26" s="19" customFormat="1" ht="25.5">
      <c r="A15" s="24"/>
      <c r="B15" s="24" t="s">
        <v>66</v>
      </c>
      <c r="C15" s="403" t="s">
        <v>954</v>
      </c>
      <c r="D15" s="26" t="s">
        <v>214</v>
      </c>
      <c r="E15" s="100">
        <v>4.8</v>
      </c>
      <c r="F15" s="370">
        <f>G15*1.5</f>
        <v>482.50077658822818</v>
      </c>
      <c r="G15" s="370">
        <v>321.66718439215214</v>
      </c>
      <c r="H15" s="370">
        <f t="shared" ref="H15" si="3">F15+G15</f>
        <v>804.16796098038026</v>
      </c>
      <c r="I15" s="370">
        <f>H15*(1+'BDI - HABITAÇÃO'!$C$22)</f>
        <v>1019.6849745231222</v>
      </c>
      <c r="J15" s="370">
        <f>E15*F15</f>
        <v>2316.0037276234953</v>
      </c>
      <c r="K15" s="370">
        <f>E15*G15</f>
        <v>1544.0024850823302</v>
      </c>
      <c r="L15" s="371">
        <f>H15*E15</f>
        <v>3860.006212705825</v>
      </c>
      <c r="M15" s="371">
        <f>I15*E15</f>
        <v>4894.4878777109861</v>
      </c>
      <c r="N15" s="578"/>
      <c r="O15" s="532"/>
      <c r="P15" s="532"/>
      <c r="Q15" s="532"/>
      <c r="R15" s="532"/>
      <c r="S15" s="19">
        <f>100-SUM(S13:S14)</f>
        <v>30.799999999999997</v>
      </c>
      <c r="T15" s="19">
        <f t="shared" si="2"/>
        <v>0.308</v>
      </c>
      <c r="U15" s="439">
        <f>T15*$T$16</f>
        <v>4894.4878777109916</v>
      </c>
      <c r="V15" s="19">
        <v>4894.4878777109898</v>
      </c>
      <c r="W15" s="25"/>
      <c r="Y15" s="33"/>
      <c r="Z15" s="33"/>
    </row>
    <row r="16" spans="1:26" s="19" customFormat="1" ht="15.75">
      <c r="A16" s="380"/>
      <c r="B16" s="380" t="s">
        <v>52</v>
      </c>
      <c r="C16" s="437" t="s">
        <v>701</v>
      </c>
      <c r="D16" s="382"/>
      <c r="E16" s="383"/>
      <c r="F16" s="383"/>
      <c r="G16" s="383"/>
      <c r="H16" s="383"/>
      <c r="I16" s="383"/>
      <c r="J16" s="383"/>
      <c r="K16" s="383"/>
      <c r="L16" s="384"/>
      <c r="M16" s="384"/>
      <c r="N16" s="578"/>
      <c r="O16" s="534">
        <f>SUM(M13:M15)</f>
        <v>15891.194408152549</v>
      </c>
      <c r="P16" s="532">
        <f>O16/$M$66</f>
        <v>0.12638852835296274</v>
      </c>
      <c r="Q16" s="532">
        <f>P16*$N$12</f>
        <v>4.4531860468411235E-3</v>
      </c>
      <c r="R16" s="535">
        <f>Q16*100</f>
        <v>0.44531860468411233</v>
      </c>
      <c r="S16" s="420">
        <f>SUM(M13:M15)</f>
        <v>15891.194408152549</v>
      </c>
      <c r="T16" s="263">
        <f>V1*$M$148</f>
        <v>15891.194408152571</v>
      </c>
      <c r="U16" s="39" t="str">
        <f>IF(T16=S16,"BOA GAROTO","FAZ BATER")</f>
        <v>FAZ BATER</v>
      </c>
      <c r="V16" s="439"/>
      <c r="W16" s="25"/>
      <c r="Y16" s="33"/>
      <c r="Z16" s="33"/>
    </row>
    <row r="17" spans="1:26" s="19" customFormat="1" ht="38.25">
      <c r="A17" s="24"/>
      <c r="B17" s="24" t="s">
        <v>68</v>
      </c>
      <c r="C17" s="166" t="s">
        <v>949</v>
      </c>
      <c r="D17" s="26" t="s">
        <v>214</v>
      </c>
      <c r="E17" s="100">
        <v>2.5499999999999998</v>
      </c>
      <c r="F17" s="370">
        <v>775.23774278428141</v>
      </c>
      <c r="G17" s="370">
        <v>516.82516185618761</v>
      </c>
      <c r="H17" s="370">
        <f t="shared" ref="H17:H20" si="4">F17+G17</f>
        <v>1292.062904640469</v>
      </c>
      <c r="I17" s="370">
        <f>H17*(1+'BDI - HABITAÇÃO'!$C$22)</f>
        <v>1638.3357630841147</v>
      </c>
      <c r="J17" s="370">
        <f>E17*F17</f>
        <v>1976.8562440999174</v>
      </c>
      <c r="K17" s="370">
        <f>E17*G17</f>
        <v>1317.9041627332783</v>
      </c>
      <c r="L17" s="371">
        <f>H17*E17</f>
        <v>3294.7604068331957</v>
      </c>
      <c r="M17" s="371">
        <f>I17*E17</f>
        <v>4177.7561958644919</v>
      </c>
      <c r="N17" s="578"/>
      <c r="O17" s="532"/>
      <c r="P17" s="532"/>
      <c r="Q17" s="532"/>
      <c r="R17" s="532"/>
      <c r="S17" s="542">
        <v>23.29509473050647</v>
      </c>
      <c r="T17" s="527">
        <f>S17/100</f>
        <v>0.23295094730506472</v>
      </c>
      <c r="U17" s="39">
        <f>T17*$T$21</f>
        <v>4177.7561958644919</v>
      </c>
      <c r="V17" s="19">
        <v>4177.7561958644919</v>
      </c>
      <c r="W17" s="25"/>
      <c r="Y17" s="33"/>
      <c r="Z17" s="33"/>
    </row>
    <row r="18" spans="1:26" s="19" customFormat="1" ht="25.5">
      <c r="A18" s="24"/>
      <c r="B18" s="24" t="s">
        <v>70</v>
      </c>
      <c r="C18" s="403" t="s">
        <v>950</v>
      </c>
      <c r="D18" s="26" t="s">
        <v>214</v>
      </c>
      <c r="E18" s="100">
        <v>4.8</v>
      </c>
      <c r="F18" s="370">
        <f t="shared" ref="F18:F19" si="5">G18*1.5</f>
        <v>440.1868228963898</v>
      </c>
      <c r="G18" s="370">
        <v>293.45788193092653</v>
      </c>
      <c r="H18" s="370">
        <f t="shared" ref="H18:H19" si="6">F18+G18</f>
        <v>733.64470482731633</v>
      </c>
      <c r="I18" s="370">
        <f>H18*(1+'BDI - HABITAÇÃO'!$C$22)</f>
        <v>930.26148572103716</v>
      </c>
      <c r="J18" s="370">
        <f>E18*F18</f>
        <v>2112.8967499026708</v>
      </c>
      <c r="K18" s="370">
        <f>E18*G18</f>
        <v>1408.5978332684474</v>
      </c>
      <c r="L18" s="371">
        <f>H18*E18</f>
        <v>3521.4945831711184</v>
      </c>
      <c r="M18" s="371">
        <f>I18*E18</f>
        <v>4465.2551314609782</v>
      </c>
      <c r="N18" s="578"/>
      <c r="O18" s="532"/>
      <c r="P18" s="532"/>
      <c r="Q18" s="532"/>
      <c r="R18" s="532"/>
      <c r="S18" s="542">
        <v>24.898183715514623</v>
      </c>
      <c r="T18" s="527">
        <f t="shared" ref="T18:T20" si="7">S18/100</f>
        <v>0.24898183715514624</v>
      </c>
      <c r="U18" s="39">
        <f t="shared" ref="U18:U20" si="8">T18*$T$21</f>
        <v>4465.2551314609782</v>
      </c>
      <c r="V18" s="19">
        <v>4465.2551314609782</v>
      </c>
      <c r="W18" s="25"/>
      <c r="Y18" s="33"/>
      <c r="Z18" s="33"/>
    </row>
    <row r="19" spans="1:26" s="19" customFormat="1" ht="25.5">
      <c r="A19" s="24"/>
      <c r="B19" s="24" t="s">
        <v>71</v>
      </c>
      <c r="C19" s="403" t="s">
        <v>951</v>
      </c>
      <c r="D19" s="26" t="s">
        <v>212</v>
      </c>
      <c r="E19" s="100">
        <f>(3.86*1.82)+(2.77*3.68)+(1.955*4.52)+(1.785*4.52)+(1.82*3.86)+(1.42*3.77)+(3.77*2.32)+(3.86*2.77)</f>
        <v>65.940799999999996</v>
      </c>
      <c r="F19" s="370">
        <f t="shared" si="5"/>
        <v>60.079365219522757</v>
      </c>
      <c r="G19" s="370">
        <v>40.052910146348502</v>
      </c>
      <c r="H19" s="370">
        <f t="shared" si="6"/>
        <v>100.13227536587127</v>
      </c>
      <c r="I19" s="370">
        <f>H19*(1+'BDI - HABITAÇÃO'!$C$22)</f>
        <v>126.96772516392477</v>
      </c>
      <c r="J19" s="370">
        <f>E19*F19</f>
        <v>3961.681406067506</v>
      </c>
      <c r="K19" s="370">
        <f>E19*G19</f>
        <v>2641.1209373783372</v>
      </c>
      <c r="L19" s="371">
        <f>H19*E19</f>
        <v>6602.8023434458437</v>
      </c>
      <c r="M19" s="371">
        <f>I19*E19</f>
        <v>8372.3533714893292</v>
      </c>
      <c r="N19" s="578"/>
      <c r="O19" s="532"/>
      <c r="P19" s="532"/>
      <c r="Q19" s="532"/>
      <c r="R19" s="532"/>
      <c r="S19" s="542">
        <v>46.68409446658989</v>
      </c>
      <c r="T19" s="527">
        <f t="shared" si="7"/>
        <v>0.46684094466589893</v>
      </c>
      <c r="U19" s="39">
        <f t="shared" si="8"/>
        <v>8372.3533714893292</v>
      </c>
      <c r="V19" s="19">
        <v>8372.3533714893292</v>
      </c>
      <c r="W19" s="25"/>
      <c r="Y19" s="33"/>
      <c r="Z19" s="33"/>
    </row>
    <row r="20" spans="1:26" s="19" customFormat="1" ht="25.5">
      <c r="A20" s="24"/>
      <c r="B20" s="24" t="s">
        <v>72</v>
      </c>
      <c r="C20" s="403" t="s">
        <v>952</v>
      </c>
      <c r="D20" s="26" t="s">
        <v>214</v>
      </c>
      <c r="E20" s="100">
        <v>1.2</v>
      </c>
      <c r="F20" s="370">
        <f>G20*1.15</f>
        <v>322.94624079915883</v>
      </c>
      <c r="G20" s="370">
        <v>280.82281808622508</v>
      </c>
      <c r="H20" s="370">
        <f t="shared" si="4"/>
        <v>603.76905888538386</v>
      </c>
      <c r="I20" s="370">
        <f>H20*(1+'BDI - HABITAÇÃO'!$C$22)</f>
        <v>765.57916666666677</v>
      </c>
      <c r="J20" s="370">
        <f>E20*F20</f>
        <v>387.53548895899058</v>
      </c>
      <c r="K20" s="370">
        <f>E20*G20</f>
        <v>336.98738170347008</v>
      </c>
      <c r="L20" s="371">
        <f>H20*E20</f>
        <v>724.5228706624606</v>
      </c>
      <c r="M20" s="371">
        <f>I20*E20</f>
        <v>918.69500000000005</v>
      </c>
      <c r="N20" s="578"/>
      <c r="O20" s="532"/>
      <c r="P20" s="532"/>
      <c r="Q20" s="532"/>
      <c r="R20" s="532"/>
      <c r="S20" s="542">
        <v>5.1226270873889934</v>
      </c>
      <c r="T20" s="527">
        <f t="shared" si="7"/>
        <v>5.1226270873889937E-2</v>
      </c>
      <c r="U20" s="39">
        <f t="shared" si="8"/>
        <v>918.69500000000005</v>
      </c>
      <c r="V20" s="19">
        <v>918.69500000000005</v>
      </c>
      <c r="W20" s="506"/>
      <c r="X20" s="33"/>
      <c r="Y20" s="33"/>
      <c r="Z20" s="33"/>
    </row>
    <row r="21" spans="1:26" s="19" customFormat="1" ht="15.75">
      <c r="A21" s="380"/>
      <c r="B21" s="380" t="s">
        <v>53</v>
      </c>
      <c r="C21" s="437" t="s">
        <v>702</v>
      </c>
      <c r="D21" s="382"/>
      <c r="E21" s="383"/>
      <c r="F21" s="383"/>
      <c r="G21" s="383"/>
      <c r="H21" s="383"/>
      <c r="I21" s="383"/>
      <c r="J21" s="383"/>
      <c r="K21" s="383"/>
      <c r="L21" s="384"/>
      <c r="M21" s="384"/>
      <c r="N21" s="578"/>
      <c r="O21" s="534">
        <f>SUM(M17:M20)</f>
        <v>17934.059698814799</v>
      </c>
      <c r="P21" s="532">
        <f>O21/$M$66</f>
        <v>0.14263618923222865</v>
      </c>
      <c r="Q21" s="532">
        <f>P21*$N$12</f>
        <v>5.0256577550272657E-3</v>
      </c>
      <c r="R21" s="535">
        <f>Q21*100</f>
        <v>0.50256577550272663</v>
      </c>
      <c r="S21" s="420">
        <f>SUM(M16:M20)</f>
        <v>17934.059698814799</v>
      </c>
      <c r="T21" s="263">
        <f>V2*$M$148</f>
        <v>17934.059698814803</v>
      </c>
      <c r="U21" s="39" t="str">
        <f>IF(T21=S21,"BOA GAROTO","FAZ BATER")</f>
        <v>BOA GAROTO</v>
      </c>
      <c r="V21" s="439">
        <v>17934.059698814799</v>
      </c>
      <c r="W21" s="33"/>
      <c r="X21" s="33"/>
      <c r="Y21" s="33"/>
      <c r="Z21" s="33"/>
    </row>
    <row r="22" spans="1:26" s="19" customFormat="1" ht="15.75">
      <c r="A22" s="24"/>
      <c r="B22" s="24" t="s">
        <v>69</v>
      </c>
      <c r="C22" s="403" t="s">
        <v>968</v>
      </c>
      <c r="D22" s="26" t="s">
        <v>212</v>
      </c>
      <c r="E22" s="100">
        <v>220.6</v>
      </c>
      <c r="F22" s="370">
        <f>G22*1.5</f>
        <v>14.329549371742258</v>
      </c>
      <c r="G22" s="370">
        <v>9.5530329144948389</v>
      </c>
      <c r="H22" s="370">
        <f t="shared" ref="H22" si="9">F22+G22</f>
        <v>23.882582286237096</v>
      </c>
      <c r="I22" s="370">
        <f>H22*(1+'BDI - HABITAÇÃO'!$C$22)</f>
        <v>30.283114338948639</v>
      </c>
      <c r="J22" s="370">
        <f>E22*F22</f>
        <v>3161.0985914063422</v>
      </c>
      <c r="K22" s="370">
        <f>E22*G22</f>
        <v>2107.3990609375614</v>
      </c>
      <c r="L22" s="371">
        <f>H22*E22</f>
        <v>5268.4976523439027</v>
      </c>
      <c r="M22" s="371">
        <f>I22*E22</f>
        <v>6680.4550231720696</v>
      </c>
      <c r="N22" s="578"/>
      <c r="O22" s="532"/>
      <c r="P22" s="532"/>
      <c r="Q22" s="532"/>
      <c r="R22" s="535"/>
      <c r="S22" s="19">
        <v>90</v>
      </c>
      <c r="T22" s="19">
        <f t="shared" si="2"/>
        <v>0.9</v>
      </c>
      <c r="U22" s="39">
        <f>T22*$T$24</f>
        <v>7680.4550231720586</v>
      </c>
      <c r="V22" s="19">
        <v>6680.4550231720596</v>
      </c>
      <c r="W22" s="33"/>
      <c r="X22" s="33"/>
      <c r="Y22" s="33"/>
      <c r="Z22" s="33"/>
    </row>
    <row r="23" spans="1:26" s="19" customFormat="1" ht="25.5">
      <c r="A23" s="24"/>
      <c r="B23" s="24" t="s">
        <v>357</v>
      </c>
      <c r="C23" s="403" t="s">
        <v>969</v>
      </c>
      <c r="D23" s="26" t="s">
        <v>212</v>
      </c>
      <c r="E23" s="100">
        <v>21</v>
      </c>
      <c r="F23" s="370">
        <f>G23*1.5</f>
        <v>19.229019636402946</v>
      </c>
      <c r="G23" s="370">
        <v>12.81934642426863</v>
      </c>
      <c r="H23" s="370">
        <f t="shared" ref="H23" si="10">F23+G23</f>
        <v>32.048366060671576</v>
      </c>
      <c r="I23" s="370">
        <f>H23*(1+'BDI - HABITAÇÃO'!$C$22)</f>
        <v>40.63732816493156</v>
      </c>
      <c r="J23" s="370">
        <f>E23*F23</f>
        <v>403.80941236446188</v>
      </c>
      <c r="K23" s="370">
        <f>E23*G23</f>
        <v>269.20627490964125</v>
      </c>
      <c r="L23" s="371">
        <f>H23*E23</f>
        <v>673.01568727410313</v>
      </c>
      <c r="M23" s="371">
        <f>I23*E23</f>
        <v>853.3838914635628</v>
      </c>
      <c r="N23" s="578"/>
      <c r="O23" s="532"/>
      <c r="P23" s="532"/>
      <c r="Q23" s="532"/>
      <c r="R23" s="532"/>
      <c r="S23" s="19">
        <v>10</v>
      </c>
      <c r="T23" s="19">
        <f t="shared" si="2"/>
        <v>0.1</v>
      </c>
      <c r="U23" s="39">
        <f>T23*$T$24</f>
        <v>853.38389146356212</v>
      </c>
      <c r="V23" s="19">
        <v>853.38389146356201</v>
      </c>
      <c r="W23" s="33"/>
      <c r="X23" s="33"/>
      <c r="Y23" s="33"/>
      <c r="Z23" s="33"/>
    </row>
    <row r="24" spans="1:26" s="19" customFormat="1" ht="15.75">
      <c r="A24" s="380"/>
      <c r="B24" s="380" t="s">
        <v>167</v>
      </c>
      <c r="C24" s="437" t="s">
        <v>706</v>
      </c>
      <c r="D24" s="382"/>
      <c r="E24" s="383"/>
      <c r="F24" s="383"/>
      <c r="G24" s="383"/>
      <c r="H24" s="383"/>
      <c r="I24" s="383"/>
      <c r="J24" s="383"/>
      <c r="K24" s="383"/>
      <c r="L24" s="384"/>
      <c r="M24" s="384"/>
      <c r="N24" s="578"/>
      <c r="O24" s="534">
        <f>SUM(M22:M23)</f>
        <v>7533.8389146356321</v>
      </c>
      <c r="P24" s="532">
        <f>O24/$M$66</f>
        <v>5.9919398681610975E-2</v>
      </c>
      <c r="Q24" s="532">
        <f>P24*$N$12</f>
        <v>2.1112060850877485E-3</v>
      </c>
      <c r="R24" s="535">
        <f>Q24*100</f>
        <v>0.21112060850877484</v>
      </c>
      <c r="S24" s="420">
        <f>SUM(M22:M23)</f>
        <v>7533.8389146356321</v>
      </c>
      <c r="T24" s="263">
        <f>V3*$M$148</f>
        <v>8533.8389146356203</v>
      </c>
      <c r="U24" s="39" t="str">
        <f>IF(T24=S24,"BOA GAROTO","FAZ BATER")</f>
        <v>FAZ BATER</v>
      </c>
      <c r="W24" s="33"/>
      <c r="X24" s="33"/>
      <c r="Y24" s="33"/>
      <c r="Z24" s="33"/>
    </row>
    <row r="25" spans="1:26" s="19" customFormat="1" ht="25.5">
      <c r="A25" s="24"/>
      <c r="B25" s="24" t="s">
        <v>703</v>
      </c>
      <c r="C25" s="403" t="s">
        <v>970</v>
      </c>
      <c r="D25" s="26" t="s">
        <v>212</v>
      </c>
      <c r="E25" s="100">
        <v>276.36</v>
      </c>
      <c r="F25" s="370">
        <f>G25*1.5</f>
        <v>41.317317498189688</v>
      </c>
      <c r="G25" s="370">
        <v>27.544878332126459</v>
      </c>
      <c r="H25" s="370">
        <f t="shared" ref="H25:H27" si="11">F25+G25</f>
        <v>68.862195830316153</v>
      </c>
      <c r="I25" s="370">
        <f>H25*(1+'BDI - HABITAÇÃO'!$C$22)</f>
        <v>87.317264312840891</v>
      </c>
      <c r="J25" s="370">
        <f>E25*F25</f>
        <v>11418.453863799703</v>
      </c>
      <c r="K25" s="370">
        <f>E25*G25</f>
        <v>7612.302575866468</v>
      </c>
      <c r="L25" s="371">
        <f>H25*E25</f>
        <v>19030.756439666173</v>
      </c>
      <c r="M25" s="371">
        <f>I25*E25</f>
        <v>24130.999165496709</v>
      </c>
      <c r="N25" s="578"/>
      <c r="O25" s="532"/>
      <c r="P25" s="532"/>
      <c r="Q25" s="532"/>
      <c r="R25" s="532"/>
      <c r="S25" s="19">
        <v>74.069795226808679</v>
      </c>
      <c r="T25" s="19">
        <f t="shared" si="2"/>
        <v>0.74069795226808677</v>
      </c>
      <c r="U25" s="39">
        <f>T25*$T$28</f>
        <v>24130.999165496709</v>
      </c>
      <c r="V25" s="543">
        <v>24130.999165496709</v>
      </c>
      <c r="W25" s="541"/>
      <c r="X25" s="33"/>
      <c r="Y25" s="33"/>
      <c r="Z25" s="33"/>
    </row>
    <row r="26" spans="1:26" s="19" customFormat="1" ht="25.5">
      <c r="A26" s="24"/>
      <c r="B26" s="24" t="s">
        <v>704</v>
      </c>
      <c r="C26" s="403" t="s">
        <v>971</v>
      </c>
      <c r="D26" s="26" t="s">
        <v>212</v>
      </c>
      <c r="E26" s="100">
        <v>276.36</v>
      </c>
      <c r="F26" s="370">
        <f>G26*1.5</f>
        <v>14.205992543671606</v>
      </c>
      <c r="G26" s="370">
        <v>9.4706616957810699</v>
      </c>
      <c r="H26" s="370">
        <f t="shared" si="11"/>
        <v>23.676654239452674</v>
      </c>
      <c r="I26" s="370">
        <f>H26*(1+'BDI - HABITAÇÃO'!$C$22)</f>
        <v>30.021997575625992</v>
      </c>
      <c r="J26" s="370">
        <f>E26*F26</f>
        <v>3925.9680993690849</v>
      </c>
      <c r="K26" s="370">
        <f>E26*G26</f>
        <v>2617.3120662460565</v>
      </c>
      <c r="L26" s="371">
        <f>H26*E26</f>
        <v>6543.2801656151414</v>
      </c>
      <c r="M26" s="371">
        <f>I26*E26</f>
        <v>8296.87925</v>
      </c>
      <c r="N26" s="578"/>
      <c r="O26" s="532"/>
      <c r="P26" s="532"/>
      <c r="Q26" s="532"/>
      <c r="R26" s="532"/>
      <c r="S26" s="19">
        <v>25.467165402241569</v>
      </c>
      <c r="T26" s="19">
        <f t="shared" si="2"/>
        <v>0.25467165402241571</v>
      </c>
      <c r="U26" s="39">
        <f>T26*$T$28</f>
        <v>8296.87925</v>
      </c>
      <c r="V26" s="19">
        <v>8296.87925</v>
      </c>
      <c r="W26" s="33"/>
      <c r="X26" s="33"/>
      <c r="Y26" s="33"/>
      <c r="Z26" s="33"/>
    </row>
    <row r="27" spans="1:26" s="19" customFormat="1" ht="15.75">
      <c r="A27" s="24"/>
      <c r="B27" s="24" t="s">
        <v>705</v>
      </c>
      <c r="C27" s="403" t="s">
        <v>972</v>
      </c>
      <c r="D27" s="26" t="s">
        <v>218</v>
      </c>
      <c r="E27" s="100">
        <v>5.08</v>
      </c>
      <c r="F27" s="370">
        <f>G27*1.5</f>
        <v>14.051424836682481</v>
      </c>
      <c r="G27" s="370">
        <v>9.3676165577883204</v>
      </c>
      <c r="H27" s="370">
        <f t="shared" si="11"/>
        <v>23.419041394470803</v>
      </c>
      <c r="I27" s="370">
        <f>H27*(1+'BDI - HABITAÇÃO'!$C$22)</f>
        <v>29.695344488188979</v>
      </c>
      <c r="J27" s="370">
        <f>E27*F27</f>
        <v>71.381238170347004</v>
      </c>
      <c r="K27" s="370">
        <f>E27*G27</f>
        <v>47.587492113564672</v>
      </c>
      <c r="L27" s="371">
        <f>H27*E27</f>
        <v>118.96873028391168</v>
      </c>
      <c r="M27" s="371">
        <f>I27*E27</f>
        <v>150.85235000000003</v>
      </c>
      <c r="N27" s="578"/>
      <c r="O27" s="532"/>
      <c r="P27" s="532"/>
      <c r="Q27" s="532"/>
      <c r="R27" s="532"/>
      <c r="S27" s="19">
        <v>0.46303937094984676</v>
      </c>
      <c r="T27" s="19">
        <f t="shared" si="2"/>
        <v>4.6303937094984678E-3</v>
      </c>
      <c r="U27" s="39">
        <f>T27*$T$28</f>
        <v>150.85235000000003</v>
      </c>
      <c r="V27" s="19">
        <v>150.85235000000003</v>
      </c>
      <c r="W27" s="33"/>
      <c r="X27" s="33"/>
      <c r="Y27" s="33"/>
      <c r="Z27" s="33"/>
    </row>
    <row r="28" spans="1:26" s="19" customFormat="1" ht="15.75">
      <c r="A28" s="380"/>
      <c r="B28" s="380" t="s">
        <v>680</v>
      </c>
      <c r="C28" s="437" t="s">
        <v>717</v>
      </c>
      <c r="D28" s="382"/>
      <c r="E28" s="383"/>
      <c r="F28" s="383"/>
      <c r="G28" s="383"/>
      <c r="H28" s="383"/>
      <c r="I28" s="383"/>
      <c r="J28" s="383"/>
      <c r="K28" s="383"/>
      <c r="L28" s="384"/>
      <c r="M28" s="384"/>
      <c r="N28" s="578"/>
      <c r="O28" s="534">
        <f>SUM(M25:M27)</f>
        <v>32578.730765496708</v>
      </c>
      <c r="P28" s="532">
        <f>O28/$M$66</f>
        <v>0.25911065784621623</v>
      </c>
      <c r="Q28" s="532">
        <f>P28*$N$12</f>
        <v>9.1295308296193648E-3</v>
      </c>
      <c r="R28" s="535">
        <f>Q28*100</f>
        <v>0.91295308296193645</v>
      </c>
      <c r="S28" s="420">
        <f>SUM(M25:M27)</f>
        <v>32578.730765496708</v>
      </c>
      <c r="T28" s="263">
        <f>V4*$M$148</f>
        <v>32578.730765496679</v>
      </c>
      <c r="U28" s="39" t="str">
        <f>IF(T28=S28,"BOA GAROTO","FAZ BATER")</f>
        <v>BOA GAROTO</v>
      </c>
      <c r="V28" s="19">
        <v>32578.730765496701</v>
      </c>
      <c r="W28" s="33"/>
      <c r="X28" s="33"/>
      <c r="Y28" s="33"/>
      <c r="Z28" s="33"/>
    </row>
    <row r="29" spans="1:26" s="19" customFormat="1" ht="25.5">
      <c r="A29" s="24"/>
      <c r="B29" s="24" t="s">
        <v>707</v>
      </c>
      <c r="C29" s="403" t="s">
        <v>831</v>
      </c>
      <c r="D29" s="26" t="s">
        <v>693</v>
      </c>
      <c r="E29" s="100">
        <v>31</v>
      </c>
      <c r="F29" s="370">
        <f>G29*1.5</f>
        <v>13.080133702881948</v>
      </c>
      <c r="G29" s="370">
        <v>8.7200891352546321</v>
      </c>
      <c r="H29" s="370">
        <f t="shared" ref="H29" si="12">F29+G29</f>
        <v>21.80022283813658</v>
      </c>
      <c r="I29" s="370">
        <f>H29*(1+'BDI - HABITAÇÃO'!$C$22)</f>
        <v>27.642682558757183</v>
      </c>
      <c r="J29" s="370">
        <f t="shared" ref="J29:J35" si="13">E29*F29</f>
        <v>405.48414478934041</v>
      </c>
      <c r="K29" s="370">
        <f t="shared" ref="K29:K35" si="14">E29*G29</f>
        <v>270.3227631928936</v>
      </c>
      <c r="L29" s="371">
        <f t="shared" ref="L29:L35" si="15">H29*E29</f>
        <v>675.80690798223395</v>
      </c>
      <c r="M29" s="371">
        <f t="shared" ref="M29:M35" si="16">I29*E29</f>
        <v>856.92315932147267</v>
      </c>
      <c r="N29" s="578"/>
      <c r="O29" s="532"/>
      <c r="P29" s="532"/>
      <c r="Q29" s="532"/>
      <c r="R29" s="532"/>
      <c r="S29" s="542">
        <v>16.215429698249864</v>
      </c>
      <c r="T29" s="19">
        <f t="shared" si="2"/>
        <v>0.16215429698249864</v>
      </c>
      <c r="U29" s="39">
        <f t="shared" ref="U29:U36" si="17">T29*$T$43</f>
        <v>1439.3395936511311</v>
      </c>
      <c r="V29" s="19">
        <v>856.92315932147403</v>
      </c>
      <c r="W29" s="526"/>
      <c r="X29" s="33"/>
      <c r="Y29" s="33"/>
      <c r="Z29" s="33"/>
    </row>
    <row r="30" spans="1:26" s="19" customFormat="1" ht="15.75">
      <c r="A30" s="24"/>
      <c r="B30" s="24" t="s">
        <v>708</v>
      </c>
      <c r="C30" s="403" t="s">
        <v>830</v>
      </c>
      <c r="D30" s="26" t="s">
        <v>218</v>
      </c>
      <c r="E30" s="100">
        <f>3378.348/10</f>
        <v>337.83479999999997</v>
      </c>
      <c r="F30" s="370">
        <f>G30*2</f>
        <v>1.7783385006482173</v>
      </c>
      <c r="G30" s="370">
        <v>0.88916925032410865</v>
      </c>
      <c r="H30" s="370">
        <f t="shared" ref="H30:H35" si="18">F30+G30</f>
        <v>2.6675077509723257</v>
      </c>
      <c r="I30" s="370">
        <f>H30*(1+'BDI - HABITAÇÃO'!$C$22)</f>
        <v>3.3823998282329089</v>
      </c>
      <c r="J30" s="370">
        <f t="shared" si="13"/>
        <v>600.78463169879035</v>
      </c>
      <c r="K30" s="370">
        <f t="shared" si="14"/>
        <v>300.39231584939517</v>
      </c>
      <c r="L30" s="371">
        <f t="shared" si="15"/>
        <v>901.17694754818535</v>
      </c>
      <c r="M30" s="371">
        <f t="shared" si="16"/>
        <v>1142.692369491099</v>
      </c>
      <c r="N30" s="578"/>
      <c r="O30" s="532"/>
      <c r="P30" s="532"/>
      <c r="Q30" s="532"/>
      <c r="R30" s="532"/>
      <c r="S30" s="542">
        <v>21.6229980280627</v>
      </c>
      <c r="T30" s="19">
        <f t="shared" si="2"/>
        <v>0.21622998028062701</v>
      </c>
      <c r="U30" s="39">
        <f t="shared" si="17"/>
        <v>1919.3347184990153</v>
      </c>
      <c r="V30" s="19">
        <v>1142.6923694911</v>
      </c>
      <c r="W30" s="526"/>
      <c r="X30" s="33"/>
      <c r="Y30" s="33"/>
      <c r="Z30" s="33"/>
    </row>
    <row r="31" spans="1:26" s="19" customFormat="1" ht="15.75">
      <c r="A31" s="24"/>
      <c r="B31" s="24" t="s">
        <v>709</v>
      </c>
      <c r="C31" s="403" t="s">
        <v>829</v>
      </c>
      <c r="D31" s="26" t="s">
        <v>693</v>
      </c>
      <c r="E31" s="100">
        <v>1</v>
      </c>
      <c r="F31" s="370">
        <f>G31*2</f>
        <v>488.15014703508831</v>
      </c>
      <c r="G31" s="370">
        <v>244.07507351754415</v>
      </c>
      <c r="H31" s="370">
        <f t="shared" si="18"/>
        <v>732.22522055263244</v>
      </c>
      <c r="I31" s="370">
        <f>H31*(1+'BDI - HABITAÇÃO'!$C$22)</f>
        <v>928.46157966073793</v>
      </c>
      <c r="J31" s="370">
        <f t="shared" si="13"/>
        <v>488.15014703508831</v>
      </c>
      <c r="K31" s="370">
        <f t="shared" si="14"/>
        <v>244.07507351754415</v>
      </c>
      <c r="L31" s="371">
        <f t="shared" si="15"/>
        <v>732.22522055263244</v>
      </c>
      <c r="M31" s="371">
        <f t="shared" si="16"/>
        <v>928.46157966073793</v>
      </c>
      <c r="N31" s="578"/>
      <c r="O31" s="532"/>
      <c r="P31" s="532"/>
      <c r="Q31" s="532"/>
      <c r="R31" s="532"/>
      <c r="S31" s="542">
        <v>17.569140603500337</v>
      </c>
      <c r="T31" s="19">
        <f t="shared" si="2"/>
        <v>0.17569140603500336</v>
      </c>
      <c r="U31" s="39">
        <f t="shared" si="17"/>
        <v>1559.4998200862415</v>
      </c>
      <c r="V31" s="19">
        <v>928.46157966073702</v>
      </c>
      <c r="W31" s="526"/>
      <c r="X31" s="33"/>
      <c r="Y31" s="33"/>
      <c r="Z31" s="33"/>
    </row>
    <row r="32" spans="1:26" s="19" customFormat="1" ht="15.75">
      <c r="A32" s="24"/>
      <c r="B32" s="24" t="s">
        <v>710</v>
      </c>
      <c r="C32" s="403" t="s">
        <v>711</v>
      </c>
      <c r="D32" s="26" t="s">
        <v>693</v>
      </c>
      <c r="E32" s="100">
        <v>32</v>
      </c>
      <c r="F32" s="370">
        <f t="shared" ref="F32:F34" si="19">G32*1.5</f>
        <v>9.5035346435001742</v>
      </c>
      <c r="G32" s="370">
        <v>6.33568976233345</v>
      </c>
      <c r="H32" s="370">
        <f t="shared" si="18"/>
        <v>15.839224405833624</v>
      </c>
      <c r="I32" s="370">
        <f>H32*(1+'BDI - HABITAÇÃO'!$C$22)</f>
        <v>20.084136546597037</v>
      </c>
      <c r="J32" s="370">
        <f t="shared" si="13"/>
        <v>304.11310859200557</v>
      </c>
      <c r="K32" s="370">
        <f t="shared" si="14"/>
        <v>202.7420723946704</v>
      </c>
      <c r="L32" s="371">
        <f t="shared" si="15"/>
        <v>506.85518098667598</v>
      </c>
      <c r="M32" s="371">
        <f t="shared" si="16"/>
        <v>642.69236949110518</v>
      </c>
      <c r="N32" s="578"/>
      <c r="O32" s="532"/>
      <c r="P32" s="532"/>
      <c r="Q32" s="532"/>
      <c r="R32" s="532"/>
      <c r="S32" s="542">
        <v>12.161572273687387</v>
      </c>
      <c r="T32" s="19">
        <f t="shared" si="2"/>
        <v>0.12161572273687388</v>
      </c>
      <c r="U32" s="39">
        <f t="shared" si="17"/>
        <v>1079.5046952383473</v>
      </c>
      <c r="V32" s="19">
        <v>642.69236949110496</v>
      </c>
      <c r="W32" s="526"/>
      <c r="X32" s="33"/>
      <c r="Y32" s="33"/>
      <c r="Z32" s="33"/>
    </row>
    <row r="33" spans="1:26" s="19" customFormat="1" ht="15.75">
      <c r="A33" s="24"/>
      <c r="B33" s="24" t="s">
        <v>712</v>
      </c>
      <c r="C33" s="403" t="s">
        <v>787</v>
      </c>
      <c r="D33" s="26" t="s">
        <v>218</v>
      </c>
      <c r="E33" s="100">
        <v>38.61</v>
      </c>
      <c r="F33" s="370">
        <f t="shared" si="19"/>
        <v>10.502049852093775</v>
      </c>
      <c r="G33" s="370">
        <v>7.0013665680625161</v>
      </c>
      <c r="H33" s="370">
        <f t="shared" si="18"/>
        <v>17.503416420156292</v>
      </c>
      <c r="I33" s="370">
        <f>H33*(1+'BDI - HABITAÇÃO'!$C$22)</f>
        <v>22.194332020758178</v>
      </c>
      <c r="J33" s="370">
        <f t="shared" si="13"/>
        <v>405.48414478934063</v>
      </c>
      <c r="K33" s="370">
        <f t="shared" si="14"/>
        <v>270.32276319289372</v>
      </c>
      <c r="L33" s="371">
        <f t="shared" si="15"/>
        <v>675.80690798223441</v>
      </c>
      <c r="M33" s="371">
        <f t="shared" si="16"/>
        <v>856.92315932147324</v>
      </c>
      <c r="N33" s="578"/>
      <c r="O33" s="532"/>
      <c r="P33" s="532"/>
      <c r="Q33" s="532"/>
      <c r="R33" s="532"/>
      <c r="S33" s="542">
        <v>16.215429698249864</v>
      </c>
      <c r="T33" s="19">
        <f t="shared" si="2"/>
        <v>0.16215429698249864</v>
      </c>
      <c r="U33" s="39">
        <f t="shared" si="17"/>
        <v>1439.3395936511311</v>
      </c>
      <c r="V33" s="19">
        <v>856.92315932147403</v>
      </c>
      <c r="W33" s="526"/>
      <c r="X33" s="33"/>
      <c r="Y33" s="33"/>
      <c r="Z33" s="33"/>
    </row>
    <row r="34" spans="1:26" s="19" customFormat="1" ht="15.75">
      <c r="A34" s="24"/>
      <c r="B34" s="24" t="s">
        <v>713</v>
      </c>
      <c r="C34" s="403" t="s">
        <v>714</v>
      </c>
      <c r="D34" s="26" t="s">
        <v>693</v>
      </c>
      <c r="E34" s="100">
        <v>1</v>
      </c>
      <c r="F34" s="370">
        <f t="shared" si="19"/>
        <v>202.74207239467052</v>
      </c>
      <c r="G34" s="370">
        <v>135.161381596447</v>
      </c>
      <c r="H34" s="370">
        <f t="shared" si="18"/>
        <v>337.90345399111754</v>
      </c>
      <c r="I34" s="370">
        <f>H34*(1+'BDI - HABITAÇÃO'!$C$22)</f>
        <v>428.46157966073707</v>
      </c>
      <c r="J34" s="370">
        <f t="shared" si="13"/>
        <v>202.74207239467052</v>
      </c>
      <c r="K34" s="370">
        <f t="shared" si="14"/>
        <v>135.161381596447</v>
      </c>
      <c r="L34" s="371">
        <f t="shared" si="15"/>
        <v>337.90345399111754</v>
      </c>
      <c r="M34" s="371">
        <f t="shared" si="16"/>
        <v>428.46157966073707</v>
      </c>
      <c r="N34" s="578"/>
      <c r="O34" s="532"/>
      <c r="P34" s="532"/>
      <c r="Q34" s="532"/>
      <c r="R34" s="532"/>
      <c r="S34" s="542">
        <v>8.1077148491249318</v>
      </c>
      <c r="T34" s="19">
        <f t="shared" si="2"/>
        <v>8.1077148491249321E-2</v>
      </c>
      <c r="U34" s="39">
        <f t="shared" si="17"/>
        <v>719.66979682556553</v>
      </c>
      <c r="V34" s="19">
        <v>428.46157966073702</v>
      </c>
      <c r="W34" s="526"/>
      <c r="X34" s="33"/>
      <c r="Y34" s="33"/>
      <c r="Z34" s="33"/>
    </row>
    <row r="35" spans="1:26" s="19" customFormat="1" ht="25.5">
      <c r="A35" s="24"/>
      <c r="B35" s="24" t="s">
        <v>715</v>
      </c>
      <c r="C35" s="403" t="s">
        <v>1005</v>
      </c>
      <c r="D35" s="26" t="s">
        <v>212</v>
      </c>
      <c r="E35" s="100">
        <f>0.55*(1.8+1.2)</f>
        <v>1.6500000000000001</v>
      </c>
      <c r="F35" s="370">
        <f>G35*1.65</f>
        <v>63.755368677569095</v>
      </c>
      <c r="G35" s="370">
        <v>38.639617380344909</v>
      </c>
      <c r="H35" s="370">
        <f t="shared" si="18"/>
        <v>102.394986057914</v>
      </c>
      <c r="I35" s="370">
        <f>H35*(1+'BDI - HABITAÇÃO'!$C$22)</f>
        <v>129.83684232143494</v>
      </c>
      <c r="J35" s="370">
        <f t="shared" si="13"/>
        <v>105.19635831798901</v>
      </c>
      <c r="K35" s="370">
        <f t="shared" si="14"/>
        <v>63.755368677569102</v>
      </c>
      <c r="L35" s="371">
        <f t="shared" si="15"/>
        <v>168.95172699555812</v>
      </c>
      <c r="M35" s="371">
        <f t="shared" si="16"/>
        <v>214.23078983036768</v>
      </c>
      <c r="N35" s="578"/>
      <c r="O35" s="532"/>
      <c r="P35" s="532"/>
      <c r="Q35" s="532"/>
      <c r="R35" s="532"/>
      <c r="S35" s="542">
        <v>4.0538574245624561</v>
      </c>
      <c r="T35" s="19">
        <f t="shared" si="2"/>
        <v>4.0538574245624563E-2</v>
      </c>
      <c r="U35" s="39">
        <f t="shared" si="17"/>
        <v>359.83489841278185</v>
      </c>
      <c r="V35" s="19">
        <v>214.23078983036768</v>
      </c>
      <c r="W35" s="526"/>
      <c r="X35" s="33"/>
      <c r="Y35" s="33"/>
      <c r="Z35" s="33"/>
    </row>
    <row r="36" spans="1:26" s="19" customFormat="1" ht="25.5">
      <c r="A36" s="24"/>
      <c r="B36" s="24" t="s">
        <v>716</v>
      </c>
      <c r="C36" s="403" t="s">
        <v>1006</v>
      </c>
      <c r="D36" s="26" t="s">
        <v>693</v>
      </c>
      <c r="E36" s="100">
        <v>2</v>
      </c>
      <c r="F36" s="370">
        <f>G36*1.85</f>
        <v>14.208</v>
      </c>
      <c r="G36" s="370">
        <v>7.68</v>
      </c>
      <c r="H36" s="370">
        <f t="shared" ref="H36:H42" si="20">F36+G36</f>
        <v>21.887999999999998</v>
      </c>
      <c r="I36" s="370">
        <f>H36*(1+'BDI - HABITAÇÃO'!$C$22)</f>
        <v>27.753983999999999</v>
      </c>
      <c r="J36" s="370">
        <f t="shared" ref="J36:J42" si="21">E36*F36</f>
        <v>28.416</v>
      </c>
      <c r="K36" s="370">
        <f t="shared" ref="K36:K42" si="22">E36*G36</f>
        <v>15.36</v>
      </c>
      <c r="L36" s="371">
        <f t="shared" ref="L36:L42" si="23">H36*E36</f>
        <v>43.775999999999996</v>
      </c>
      <c r="M36" s="371">
        <f t="shared" ref="M36:M42" si="24">I36*E36</f>
        <v>55.507967999999998</v>
      </c>
      <c r="N36" s="578"/>
      <c r="O36" s="532"/>
      <c r="P36" s="532"/>
      <c r="Q36" s="532"/>
      <c r="R36" s="532"/>
      <c r="S36" s="542">
        <v>0.62534620513945727</v>
      </c>
      <c r="T36" s="19">
        <f t="shared" ref="T36:T42" si="25">S36/100</f>
        <v>6.2534620513945731E-3</v>
      </c>
      <c r="U36" s="39">
        <f t="shared" si="17"/>
        <v>55.507968000000012</v>
      </c>
      <c r="V36" s="19">
        <v>55.507967999999998</v>
      </c>
      <c r="W36" s="526"/>
      <c r="X36" s="33"/>
      <c r="Y36" s="33"/>
      <c r="Z36" s="33"/>
    </row>
    <row r="37" spans="1:26" s="19" customFormat="1" ht="51">
      <c r="A37" s="24"/>
      <c r="B37" s="24" t="s">
        <v>1013</v>
      </c>
      <c r="C37" s="403" t="s">
        <v>1007</v>
      </c>
      <c r="D37" s="26" t="s">
        <v>693</v>
      </c>
      <c r="E37" s="100">
        <v>4</v>
      </c>
      <c r="F37" s="370">
        <f>G37*2.5</f>
        <v>106.44999999999999</v>
      </c>
      <c r="G37" s="370">
        <v>42.58</v>
      </c>
      <c r="H37" s="370">
        <f t="shared" si="20"/>
        <v>149.02999999999997</v>
      </c>
      <c r="I37" s="370">
        <f>H37*(1+'BDI - HABITAÇÃO'!$C$22)</f>
        <v>188.97003999999995</v>
      </c>
      <c r="J37" s="370">
        <f t="shared" si="21"/>
        <v>425.79999999999995</v>
      </c>
      <c r="K37" s="370">
        <f t="shared" si="22"/>
        <v>170.32</v>
      </c>
      <c r="L37" s="371">
        <f t="shared" si="23"/>
        <v>596.11999999999989</v>
      </c>
      <c r="M37" s="371">
        <f t="shared" si="24"/>
        <v>755.88015999999982</v>
      </c>
      <c r="N37" s="578"/>
      <c r="O37" s="532"/>
      <c r="P37" s="532"/>
      <c r="Q37" s="532"/>
      <c r="R37" s="532"/>
      <c r="S37" s="542">
        <v>8.5156565197307472</v>
      </c>
      <c r="T37" s="19">
        <f t="shared" si="25"/>
        <v>8.5156565197307466E-2</v>
      </c>
      <c r="U37" s="39">
        <f t="shared" ref="U37:U42" si="26">T37*$T$43</f>
        <v>755.88015999999982</v>
      </c>
      <c r="V37" s="19">
        <v>755.88015999999982</v>
      </c>
      <c r="W37" s="526"/>
      <c r="X37" s="33"/>
      <c r="Y37" s="33"/>
      <c r="Z37" s="33"/>
    </row>
    <row r="38" spans="1:26" s="19" customFormat="1" ht="38.25">
      <c r="A38" s="24"/>
      <c r="B38" s="24" t="s">
        <v>1014</v>
      </c>
      <c r="C38" s="403" t="s">
        <v>1008</v>
      </c>
      <c r="D38" s="26" t="s">
        <v>693</v>
      </c>
      <c r="E38" s="100">
        <v>4</v>
      </c>
      <c r="F38" s="370">
        <f>G38*2.5</f>
        <v>147.375</v>
      </c>
      <c r="G38" s="370">
        <v>58.95</v>
      </c>
      <c r="H38" s="370">
        <f t="shared" si="20"/>
        <v>206.32499999999999</v>
      </c>
      <c r="I38" s="370">
        <f>H38*(1+'BDI - HABITAÇÃO'!$C$22)</f>
        <v>261.62009999999998</v>
      </c>
      <c r="J38" s="370">
        <f t="shared" si="21"/>
        <v>589.5</v>
      </c>
      <c r="K38" s="370">
        <f t="shared" si="22"/>
        <v>235.8</v>
      </c>
      <c r="L38" s="371">
        <f t="shared" si="23"/>
        <v>825.3</v>
      </c>
      <c r="M38" s="371">
        <f t="shared" si="24"/>
        <v>1046.4803999999999</v>
      </c>
      <c r="N38" s="578"/>
      <c r="O38" s="532"/>
      <c r="P38" s="532"/>
      <c r="Q38" s="532"/>
      <c r="R38" s="532"/>
      <c r="S38" s="542">
        <v>11.789524467781295</v>
      </c>
      <c r="T38" s="19">
        <f t="shared" si="25"/>
        <v>0.11789524467781294</v>
      </c>
      <c r="U38" s="39">
        <f t="shared" si="26"/>
        <v>1046.4803999999997</v>
      </c>
      <c r="V38" s="19">
        <v>1046.4803999999999</v>
      </c>
      <c r="W38" s="526"/>
      <c r="X38" s="33"/>
      <c r="Y38" s="33"/>
      <c r="Z38" s="33"/>
    </row>
    <row r="39" spans="1:26" s="19" customFormat="1" ht="38.25">
      <c r="A39" s="24"/>
      <c r="B39" s="24" t="s">
        <v>1015</v>
      </c>
      <c r="C39" s="403" t="s">
        <v>1009</v>
      </c>
      <c r="D39" s="26" t="s">
        <v>693</v>
      </c>
      <c r="E39" s="100">
        <v>3</v>
      </c>
      <c r="F39" s="370">
        <f>G39*3</f>
        <v>135.75</v>
      </c>
      <c r="G39" s="370">
        <v>45.25</v>
      </c>
      <c r="H39" s="370">
        <f t="shared" si="20"/>
        <v>181</v>
      </c>
      <c r="I39" s="370">
        <f>H39*(1+'BDI - HABITAÇÃO'!$C$22)</f>
        <v>229.50800000000001</v>
      </c>
      <c r="J39" s="370">
        <f t="shared" si="21"/>
        <v>407.25</v>
      </c>
      <c r="K39" s="370">
        <f t="shared" si="22"/>
        <v>135.75</v>
      </c>
      <c r="L39" s="371">
        <f t="shared" si="23"/>
        <v>543</v>
      </c>
      <c r="M39" s="371">
        <f t="shared" si="24"/>
        <v>688.524</v>
      </c>
      <c r="N39" s="578"/>
      <c r="O39" s="532"/>
      <c r="P39" s="532"/>
      <c r="Q39" s="532"/>
      <c r="R39" s="532"/>
      <c r="S39" s="542">
        <v>7.7568299842545052</v>
      </c>
      <c r="T39" s="19">
        <f t="shared" si="25"/>
        <v>7.7568299842545055E-2</v>
      </c>
      <c r="U39" s="39">
        <f t="shared" si="26"/>
        <v>688.52399999999989</v>
      </c>
      <c r="V39" s="19">
        <v>688.524</v>
      </c>
      <c r="W39" s="526"/>
      <c r="X39" s="33"/>
      <c r="Y39" s="33"/>
      <c r="Z39" s="33"/>
    </row>
    <row r="40" spans="1:26" s="19" customFormat="1" ht="25.5">
      <c r="A40" s="24"/>
      <c r="B40" s="24" t="s">
        <v>1016</v>
      </c>
      <c r="C40" s="403" t="s">
        <v>1010</v>
      </c>
      <c r="D40" s="26" t="s">
        <v>693</v>
      </c>
      <c r="E40" s="100">
        <v>3</v>
      </c>
      <c r="F40" s="370">
        <f t="shared" ref="F40:F42" si="27">G40*3</f>
        <v>99</v>
      </c>
      <c r="G40" s="370">
        <v>33</v>
      </c>
      <c r="H40" s="370">
        <f t="shared" si="20"/>
        <v>132</v>
      </c>
      <c r="I40" s="370">
        <f>H40*(1+'BDI - HABITAÇÃO'!$C$22)</f>
        <v>167.376</v>
      </c>
      <c r="J40" s="370">
        <f t="shared" si="21"/>
        <v>297</v>
      </c>
      <c r="K40" s="370">
        <f t="shared" si="22"/>
        <v>99</v>
      </c>
      <c r="L40" s="371">
        <f t="shared" si="23"/>
        <v>396</v>
      </c>
      <c r="M40" s="371">
        <f t="shared" si="24"/>
        <v>502.12800000000004</v>
      </c>
      <c r="N40" s="578"/>
      <c r="O40" s="532"/>
      <c r="P40" s="532"/>
      <c r="Q40" s="532"/>
      <c r="R40" s="532"/>
      <c r="S40" s="542">
        <v>5.6569146846496956</v>
      </c>
      <c r="T40" s="19">
        <f t="shared" si="25"/>
        <v>5.6569146846496957E-2</v>
      </c>
      <c r="U40" s="39">
        <f t="shared" si="26"/>
        <v>502.12800000000004</v>
      </c>
      <c r="V40" s="19">
        <v>502.12800000000004</v>
      </c>
      <c r="W40" s="526"/>
      <c r="X40" s="33"/>
      <c r="Y40" s="33"/>
      <c r="Z40" s="33"/>
    </row>
    <row r="41" spans="1:26" s="19" customFormat="1" ht="25.5">
      <c r="A41" s="24"/>
      <c r="B41" s="24" t="s">
        <v>1017</v>
      </c>
      <c r="C41" s="403" t="s">
        <v>1011</v>
      </c>
      <c r="D41" s="26" t="s">
        <v>693</v>
      </c>
      <c r="E41" s="100">
        <v>3</v>
      </c>
      <c r="F41" s="370">
        <f t="shared" si="27"/>
        <v>75</v>
      </c>
      <c r="G41" s="370">
        <v>25</v>
      </c>
      <c r="H41" s="370">
        <f t="shared" si="20"/>
        <v>100</v>
      </c>
      <c r="I41" s="370">
        <f>H41*(1+'BDI - HABITAÇÃO'!$C$22)</f>
        <v>126.8</v>
      </c>
      <c r="J41" s="370">
        <f t="shared" si="21"/>
        <v>225</v>
      </c>
      <c r="K41" s="370">
        <f t="shared" si="22"/>
        <v>75</v>
      </c>
      <c r="L41" s="371">
        <f t="shared" si="23"/>
        <v>300</v>
      </c>
      <c r="M41" s="371">
        <f t="shared" si="24"/>
        <v>380.4</v>
      </c>
      <c r="N41" s="578"/>
      <c r="O41" s="532"/>
      <c r="P41" s="532"/>
      <c r="Q41" s="532"/>
      <c r="R41" s="532"/>
      <c r="S41" s="542">
        <v>4.2855414277649206</v>
      </c>
      <c r="T41" s="19">
        <f t="shared" si="25"/>
        <v>4.2855414277649204E-2</v>
      </c>
      <c r="U41" s="39">
        <f t="shared" si="26"/>
        <v>380.4</v>
      </c>
      <c r="V41" s="19">
        <v>380.4</v>
      </c>
      <c r="W41" s="526"/>
      <c r="X41" s="33"/>
      <c r="Y41" s="33"/>
      <c r="Z41" s="33"/>
    </row>
    <row r="42" spans="1:26" s="19" customFormat="1" ht="25.5">
      <c r="A42" s="24"/>
      <c r="B42" s="24" t="s">
        <v>1018</v>
      </c>
      <c r="C42" s="403" t="s">
        <v>1012</v>
      </c>
      <c r="D42" s="26" t="s">
        <v>693</v>
      </c>
      <c r="E42" s="100">
        <v>3</v>
      </c>
      <c r="F42" s="370">
        <f t="shared" si="27"/>
        <v>74.340000000001567</v>
      </c>
      <c r="G42" s="370">
        <v>24.78000000000052</v>
      </c>
      <c r="H42" s="370">
        <f t="shared" si="20"/>
        <v>99.120000000002079</v>
      </c>
      <c r="I42" s="370">
        <f>H42*(1+'BDI - HABITAÇÃO'!$C$22)</f>
        <v>125.68416000000263</v>
      </c>
      <c r="J42" s="370">
        <f t="shared" si="21"/>
        <v>223.0200000000047</v>
      </c>
      <c r="K42" s="370">
        <f t="shared" si="22"/>
        <v>74.340000000001567</v>
      </c>
      <c r="L42" s="371">
        <f t="shared" si="23"/>
        <v>297.36000000000627</v>
      </c>
      <c r="M42" s="371">
        <f t="shared" si="24"/>
        <v>377.0524800000079</v>
      </c>
      <c r="N42" s="578"/>
      <c r="O42" s="532"/>
      <c r="P42" s="532"/>
      <c r="Q42" s="532"/>
      <c r="R42" s="532"/>
      <c r="S42" s="542">
        <v>4.2478286632005888</v>
      </c>
      <c r="T42" s="19">
        <f t="shared" si="25"/>
        <v>4.2478286632005889E-2</v>
      </c>
      <c r="U42" s="39">
        <f t="shared" si="26"/>
        <v>377.05247999999995</v>
      </c>
      <c r="V42" s="19">
        <v>377.05248</v>
      </c>
      <c r="W42" s="526"/>
      <c r="X42" s="33"/>
      <c r="Y42" s="33"/>
      <c r="Z42" s="33"/>
    </row>
    <row r="43" spans="1:26" s="19" customFormat="1" ht="15.75">
      <c r="A43" s="380"/>
      <c r="B43" s="380" t="s">
        <v>723</v>
      </c>
      <c r="C43" s="437" t="s">
        <v>724</v>
      </c>
      <c r="D43" s="382"/>
      <c r="E43" s="383"/>
      <c r="F43" s="383"/>
      <c r="G43" s="383"/>
      <c r="H43" s="383"/>
      <c r="I43" s="383"/>
      <c r="J43" s="383"/>
      <c r="K43" s="383"/>
      <c r="L43" s="384"/>
      <c r="M43" s="384"/>
      <c r="N43" s="578"/>
      <c r="O43" s="534">
        <f>SUM(M29:M42)</f>
        <v>8876.358014776999</v>
      </c>
      <c r="P43" s="532">
        <f>O43/$M$66</f>
        <v>7.0596948083785679E-2</v>
      </c>
      <c r="Q43" s="532">
        <f>P43*$N$12</f>
        <v>2.4874199284789125E-3</v>
      </c>
      <c r="R43" s="535">
        <f>Q43*100</f>
        <v>0.24874199284789125</v>
      </c>
      <c r="S43" s="420">
        <f>SUM(M29:M43)</f>
        <v>8876.358014776999</v>
      </c>
      <c r="T43" s="263">
        <f>SUM(V29:V42)</f>
        <v>8876.3580147769953</v>
      </c>
      <c r="U43" s="39" t="str">
        <f>IF(T43=S43,"BOA GAROTO","FAZ BATER")</f>
        <v>BOA GAROTO</v>
      </c>
      <c r="V43" s="19">
        <v>8876.3580147770008</v>
      </c>
      <c r="W43" s="33"/>
      <c r="X43" s="33"/>
      <c r="Y43" s="33"/>
      <c r="Z43" s="33"/>
    </row>
    <row r="44" spans="1:26" s="19" customFormat="1" ht="15.75">
      <c r="A44" s="24"/>
      <c r="B44" s="24" t="s">
        <v>718</v>
      </c>
      <c r="C44" s="403" t="s">
        <v>973</v>
      </c>
      <c r="D44" s="26" t="s">
        <v>212</v>
      </c>
      <c r="E44" s="100">
        <v>316.48</v>
      </c>
      <c r="F44" s="370">
        <f>G44*1.5</f>
        <v>0.93714072715839447</v>
      </c>
      <c r="G44" s="370">
        <v>0.62476048477226298</v>
      </c>
      <c r="H44" s="370">
        <f t="shared" ref="H44:H48" si="28">F44+G44</f>
        <v>1.5619012119306575</v>
      </c>
      <c r="I44" s="370">
        <f>H44*(1+'BDI - HABITAÇÃO'!$C$22)</f>
        <v>1.9804907367280737</v>
      </c>
      <c r="J44" s="370">
        <f>E44*F44</f>
        <v>296.5862973310887</v>
      </c>
      <c r="K44" s="370">
        <f>E44*G44</f>
        <v>197.72419822072581</v>
      </c>
      <c r="L44" s="371">
        <f>H44*E44</f>
        <v>494.31049555181448</v>
      </c>
      <c r="M44" s="371">
        <f>I44*E44</f>
        <v>626.78570835970083</v>
      </c>
      <c r="N44" s="578"/>
      <c r="O44" s="532"/>
      <c r="P44" s="532"/>
      <c r="Q44" s="532"/>
      <c r="R44" s="532"/>
      <c r="S44" s="19">
        <v>4</v>
      </c>
      <c r="T44" s="19">
        <f t="shared" si="2"/>
        <v>0.04</v>
      </c>
      <c r="U44" s="39">
        <f>T44*$T$49</f>
        <v>626.78570835970061</v>
      </c>
      <c r="V44" s="19">
        <v>626.78570835970095</v>
      </c>
      <c r="W44" s="33"/>
      <c r="X44" s="33"/>
      <c r="Y44" s="33"/>
      <c r="Z44" s="33"/>
    </row>
    <row r="45" spans="1:26" s="19" customFormat="1" ht="15.75">
      <c r="A45" s="24"/>
      <c r="B45" s="24" t="s">
        <v>719</v>
      </c>
      <c r="C45" s="403" t="s">
        <v>974</v>
      </c>
      <c r="D45" s="26" t="s">
        <v>212</v>
      </c>
      <c r="E45" s="100">
        <v>189.41499999999999</v>
      </c>
      <c r="F45" s="370">
        <f t="shared" ref="F45:F47" si="29">G45*1.5</f>
        <v>1.5658015327777033</v>
      </c>
      <c r="G45" s="370">
        <v>1.0438676885184688</v>
      </c>
      <c r="H45" s="370">
        <f t="shared" ref="H45:H47" si="30">F45+G45</f>
        <v>2.6096692212961718</v>
      </c>
      <c r="I45" s="370">
        <f>H45*(1+'BDI - HABITAÇÃO'!$C$22)</f>
        <v>3.309060572603546</v>
      </c>
      <c r="J45" s="370">
        <f>E45*F45</f>
        <v>296.58629733108864</v>
      </c>
      <c r="K45" s="370">
        <f>E45*G45</f>
        <v>197.72419822072575</v>
      </c>
      <c r="L45" s="371">
        <f>H45*E45</f>
        <v>494.31049555181437</v>
      </c>
      <c r="M45" s="371">
        <f>I45*E45</f>
        <v>626.78570835970061</v>
      </c>
      <c r="N45" s="578"/>
      <c r="O45" s="532"/>
      <c r="P45" s="532"/>
      <c r="Q45" s="532"/>
      <c r="R45" s="532"/>
      <c r="S45" s="19">
        <v>4</v>
      </c>
      <c r="T45" s="19">
        <f t="shared" si="2"/>
        <v>0.04</v>
      </c>
      <c r="U45" s="39">
        <f>T45*$T$49</f>
        <v>626.78570835970061</v>
      </c>
      <c r="V45" s="19">
        <v>626.78570835970095</v>
      </c>
      <c r="W45" s="33"/>
      <c r="X45" s="33"/>
      <c r="Y45" s="33"/>
      <c r="Z45" s="33"/>
    </row>
    <row r="46" spans="1:26" s="19" customFormat="1" ht="15.75">
      <c r="A46" s="24"/>
      <c r="B46" s="24" t="s">
        <v>720</v>
      </c>
      <c r="C46" s="403" t="s">
        <v>975</v>
      </c>
      <c r="D46" s="26" t="s">
        <v>212</v>
      </c>
      <c r="E46" s="100">
        <v>316.48</v>
      </c>
      <c r="F46" s="370">
        <f t="shared" si="29"/>
        <v>10.650604364155157</v>
      </c>
      <c r="G46" s="370">
        <v>7.100402909436772</v>
      </c>
      <c r="H46" s="370">
        <f t="shared" si="30"/>
        <v>17.751007273591931</v>
      </c>
      <c r="I46" s="370">
        <f>H46*(1+'BDI - HABITAÇÃO'!$C$22)</f>
        <v>22.508277222914568</v>
      </c>
      <c r="J46" s="370">
        <f>E46*F46</f>
        <v>3370.7032691678241</v>
      </c>
      <c r="K46" s="370">
        <f>E46*G46</f>
        <v>2247.1355127785496</v>
      </c>
      <c r="L46" s="371">
        <f>H46*E46</f>
        <v>5617.8387819463742</v>
      </c>
      <c r="M46" s="371">
        <f>I46*E46</f>
        <v>7123.4195755080027</v>
      </c>
      <c r="N46" s="578"/>
      <c r="O46" s="532"/>
      <c r="P46" s="532"/>
      <c r="Q46" s="532"/>
      <c r="R46" s="532"/>
      <c r="S46" s="19">
        <f>36.2+9.26</f>
        <v>45.46</v>
      </c>
      <c r="T46" s="19">
        <f t="shared" si="2"/>
        <v>0.4546</v>
      </c>
      <c r="U46" s="39">
        <f>T46*$T$49</f>
        <v>7123.4195755079973</v>
      </c>
      <c r="V46" s="19">
        <v>7123.419575508</v>
      </c>
      <c r="W46" s="33"/>
      <c r="X46" s="33"/>
      <c r="Y46" s="33"/>
      <c r="Z46" s="33"/>
    </row>
    <row r="47" spans="1:26" s="19" customFormat="1" ht="15.75">
      <c r="A47" s="24"/>
      <c r="B47" s="24" t="s">
        <v>721</v>
      </c>
      <c r="C47" s="403" t="s">
        <v>976</v>
      </c>
      <c r="D47" s="26" t="s">
        <v>212</v>
      </c>
      <c r="E47" s="100">
        <v>189.41499999999999</v>
      </c>
      <c r="F47" s="370">
        <f t="shared" si="29"/>
        <v>14.209648909957657</v>
      </c>
      <c r="G47" s="370">
        <v>9.4730992733051043</v>
      </c>
      <c r="H47" s="370">
        <f t="shared" si="30"/>
        <v>23.68274818326276</v>
      </c>
      <c r="I47" s="370">
        <f>H47*(1+'BDI - HABITAÇÃO'!$C$22)</f>
        <v>30.02972469637718</v>
      </c>
      <c r="J47" s="370">
        <f>E47*F47</f>
        <v>2691.5206482796298</v>
      </c>
      <c r="K47" s="370">
        <f>E47*G47</f>
        <v>1794.3470988530862</v>
      </c>
      <c r="L47" s="371">
        <f>H47*E47</f>
        <v>4485.8677471327155</v>
      </c>
      <c r="M47" s="371">
        <f>I47*E47</f>
        <v>5688.0803033642833</v>
      </c>
      <c r="N47" s="578"/>
      <c r="O47" s="532"/>
      <c r="P47" s="532"/>
      <c r="Q47" s="532"/>
      <c r="R47" s="532"/>
      <c r="S47" s="19">
        <v>36.299999999999997</v>
      </c>
      <c r="T47" s="19">
        <f t="shared" si="2"/>
        <v>0.36299999999999999</v>
      </c>
      <c r="U47" s="39">
        <f>T47*$T$49</f>
        <v>5688.0803033642824</v>
      </c>
      <c r="V47" s="19">
        <v>5688.0803033642796</v>
      </c>
      <c r="W47" s="33"/>
      <c r="X47" s="33"/>
      <c r="Y47" s="33"/>
      <c r="Z47" s="33"/>
    </row>
    <row r="48" spans="1:26" s="19" customFormat="1" ht="15.75">
      <c r="A48" s="24"/>
      <c r="B48" s="24" t="s">
        <v>722</v>
      </c>
      <c r="C48" s="403" t="s">
        <v>977</v>
      </c>
      <c r="D48" s="26" t="s">
        <v>212</v>
      </c>
      <c r="E48" s="100">
        <v>191.86</v>
      </c>
      <c r="F48" s="370">
        <f>1.75*G48</f>
        <v>4.1972101249436129</v>
      </c>
      <c r="G48" s="370">
        <v>2.3984057856820646</v>
      </c>
      <c r="H48" s="370">
        <f t="shared" si="28"/>
        <v>6.5956159106256775</v>
      </c>
      <c r="I48" s="370">
        <f>H48*(1+'BDI - HABITAÇÃO'!$C$22)</f>
        <v>8.36324097467336</v>
      </c>
      <c r="J48" s="370">
        <f>E48*F48</f>
        <v>805.27673457168157</v>
      </c>
      <c r="K48" s="370">
        <f>E48*G48</f>
        <v>460.15813404096093</v>
      </c>
      <c r="L48" s="371">
        <f>H48*E48</f>
        <v>1265.4348686126425</v>
      </c>
      <c r="M48" s="371">
        <f>I48*E48</f>
        <v>1604.571413400831</v>
      </c>
      <c r="N48" s="578"/>
      <c r="O48" s="532"/>
      <c r="P48" s="532"/>
      <c r="Q48" s="532"/>
      <c r="R48" s="532"/>
      <c r="S48" s="19">
        <v>10.24</v>
      </c>
      <c r="T48" s="19">
        <f t="shared" si="2"/>
        <v>0.1024</v>
      </c>
      <c r="U48" s="39">
        <f>T48*$T$49</f>
        <v>1604.5714134008335</v>
      </c>
      <c r="V48" s="19">
        <v>1604.5714134008299</v>
      </c>
      <c r="W48" s="33"/>
      <c r="X48" s="33"/>
      <c r="Y48" s="33"/>
      <c r="Z48" s="33"/>
    </row>
    <row r="49" spans="1:26" s="19" customFormat="1" ht="15.75">
      <c r="A49" s="380"/>
      <c r="B49" s="380" t="s">
        <v>727</v>
      </c>
      <c r="C49" s="437" t="s">
        <v>728</v>
      </c>
      <c r="D49" s="382"/>
      <c r="E49" s="383"/>
      <c r="F49" s="383"/>
      <c r="G49" s="383"/>
      <c r="H49" s="383"/>
      <c r="I49" s="383"/>
      <c r="J49" s="383"/>
      <c r="K49" s="383"/>
      <c r="L49" s="384"/>
      <c r="M49" s="384"/>
      <c r="N49" s="578"/>
      <c r="O49" s="534">
        <f>SUM(M44:M48)</f>
        <v>15669.642708992516</v>
      </c>
      <c r="P49" s="532">
        <f>O49/$M$66</f>
        <v>0.1246264460014581</v>
      </c>
      <c r="Q49" s="532">
        <f>P49*$N$12</f>
        <v>4.3911006610599735E-3</v>
      </c>
      <c r="R49" s="535">
        <f>Q49*100</f>
        <v>0.43911006610599734</v>
      </c>
      <c r="S49" s="420">
        <f>SUM(M44:M48)</f>
        <v>15669.642708992516</v>
      </c>
      <c r="T49" s="263">
        <f>V5*$M$148</f>
        <v>15669.642708992515</v>
      </c>
      <c r="U49" s="39" t="str">
        <f>IF(T49=S49,"BOA GAROTO","FAZ BATER")</f>
        <v>BOA GAROTO</v>
      </c>
      <c r="W49" s="33"/>
      <c r="X49" s="33"/>
      <c r="Y49" s="33"/>
      <c r="Z49" s="33"/>
    </row>
    <row r="50" spans="1:26" s="19" customFormat="1" ht="15.75">
      <c r="A50" s="24"/>
      <c r="B50" s="24" t="s">
        <v>725</v>
      </c>
      <c r="C50" s="403" t="s">
        <v>978</v>
      </c>
      <c r="D50" s="26" t="s">
        <v>693</v>
      </c>
      <c r="E50" s="100">
        <v>10</v>
      </c>
      <c r="F50" s="370">
        <f>G50*2</f>
        <v>10.188839688947516</v>
      </c>
      <c r="G50" s="370">
        <v>5.0944198444737578</v>
      </c>
      <c r="H50" s="370">
        <f t="shared" ref="H50:H51" si="31">F50+G50</f>
        <v>15.283259533421273</v>
      </c>
      <c r="I50" s="370">
        <f>H50*(1+'BDI - HABITAÇÃO'!$C$22)</f>
        <v>19.379173088378174</v>
      </c>
      <c r="J50" s="370">
        <f>E50*F50</f>
        <v>101.88839688947516</v>
      </c>
      <c r="K50" s="370">
        <f>E50*G50</f>
        <v>50.94419844473758</v>
      </c>
      <c r="L50" s="371">
        <f>H50*E50</f>
        <v>152.83259533421273</v>
      </c>
      <c r="M50" s="371">
        <f>I50*E50</f>
        <v>193.79173088378172</v>
      </c>
      <c r="N50" s="578"/>
      <c r="O50" s="532"/>
      <c r="P50" s="532"/>
      <c r="Q50" s="532"/>
      <c r="R50" s="532"/>
      <c r="S50" s="19">
        <v>39</v>
      </c>
      <c r="T50" s="19">
        <f t="shared" si="2"/>
        <v>0.39</v>
      </c>
      <c r="U50" s="439">
        <f>T50*$T$52</f>
        <v>193.79173088378224</v>
      </c>
      <c r="V50" s="19">
        <v>193.79173088378201</v>
      </c>
      <c r="W50" s="33"/>
      <c r="X50" s="33"/>
      <c r="Y50" s="33"/>
      <c r="Z50" s="33"/>
    </row>
    <row r="51" spans="1:26" s="19" customFormat="1" ht="15.75">
      <c r="A51" s="24"/>
      <c r="B51" s="24" t="s">
        <v>726</v>
      </c>
      <c r="C51" s="403" t="s">
        <v>979</v>
      </c>
      <c r="D51" s="26" t="s">
        <v>693</v>
      </c>
      <c r="E51" s="100">
        <v>9</v>
      </c>
      <c r="F51" s="370">
        <f>G51*2</f>
        <v>17.707100314125359</v>
      </c>
      <c r="G51" s="370">
        <v>8.8535501570626796</v>
      </c>
      <c r="H51" s="370">
        <f t="shared" si="31"/>
        <v>26.56065047118804</v>
      </c>
      <c r="I51" s="370">
        <f>H51*(1+'BDI - HABITAÇÃO'!$C$22)</f>
        <v>33.678904797466437</v>
      </c>
      <c r="J51" s="370">
        <f>E51*F51</f>
        <v>159.36390282712824</v>
      </c>
      <c r="K51" s="370">
        <f>E51*G51</f>
        <v>79.681951413564121</v>
      </c>
      <c r="L51" s="371">
        <f>H51*E51</f>
        <v>239.04585424069236</v>
      </c>
      <c r="M51" s="371">
        <f>I51*E51</f>
        <v>303.11014317719793</v>
      </c>
      <c r="N51" s="578"/>
      <c r="O51" s="532"/>
      <c r="P51" s="532"/>
      <c r="Q51" s="532"/>
      <c r="R51" s="532"/>
      <c r="S51" s="19">
        <v>61</v>
      </c>
      <c r="T51" s="19">
        <f t="shared" si="2"/>
        <v>0.61</v>
      </c>
      <c r="U51" s="439">
        <f>T51*$T$52</f>
        <v>303.11014317719787</v>
      </c>
      <c r="V51" s="19">
        <v>303.11014317719798</v>
      </c>
      <c r="W51" s="33"/>
      <c r="X51" s="33"/>
      <c r="Y51" s="33"/>
      <c r="Z51" s="33"/>
    </row>
    <row r="52" spans="1:26" s="19" customFormat="1" ht="15.75">
      <c r="A52" s="380"/>
      <c r="B52" s="380" t="s">
        <v>733</v>
      </c>
      <c r="C52" s="437" t="s">
        <v>734</v>
      </c>
      <c r="D52" s="382"/>
      <c r="E52" s="383"/>
      <c r="F52" s="383"/>
      <c r="G52" s="383"/>
      <c r="H52" s="383"/>
      <c r="I52" s="383"/>
      <c r="J52" s="383"/>
      <c r="K52" s="383"/>
      <c r="L52" s="384"/>
      <c r="M52" s="384"/>
      <c r="N52" s="578"/>
      <c r="O52" s="534">
        <f>SUM(M50:M51)</f>
        <v>496.90187406097965</v>
      </c>
      <c r="P52" s="532">
        <f>O52/$M$66</f>
        <v>3.9520438165539786E-3</v>
      </c>
      <c r="Q52" s="532">
        <f>P52*$N$12</f>
        <v>1.3924670703684451E-4</v>
      </c>
      <c r="R52" s="536">
        <f>Q52*100</f>
        <v>1.3924670703684451E-2</v>
      </c>
      <c r="S52" s="420">
        <f>SUM(M50:M51)</f>
        <v>496.90187406097965</v>
      </c>
      <c r="T52" s="263">
        <f>V6*$M$148</f>
        <v>496.90187406098011</v>
      </c>
      <c r="U52" s="39" t="str">
        <f>IF(T52=S52,"BOA GAROTO","FAZ BATER")</f>
        <v>BOA GAROTO</v>
      </c>
      <c r="W52" s="33"/>
      <c r="X52" s="33"/>
      <c r="Y52" s="33"/>
      <c r="Z52" s="33"/>
    </row>
    <row r="53" spans="1:26" s="19" customFormat="1" ht="25.5">
      <c r="A53" s="24"/>
      <c r="B53" s="24" t="s">
        <v>729</v>
      </c>
      <c r="C53" s="403" t="s">
        <v>980</v>
      </c>
      <c r="D53" s="26" t="s">
        <v>212</v>
      </c>
      <c r="E53" s="100">
        <v>114.22</v>
      </c>
      <c r="F53" s="370">
        <f>G53*2</f>
        <v>7.3647120989334454</v>
      </c>
      <c r="G53" s="370">
        <v>3.6823560494667227</v>
      </c>
      <c r="H53" s="370">
        <f t="shared" ref="H53" si="32">F53+G53</f>
        <v>11.047068148400168</v>
      </c>
      <c r="I53" s="370">
        <f>H53*(1+'BDI - HABITAÇÃO'!$C$22)</f>
        <v>14.007682412171413</v>
      </c>
      <c r="J53" s="370">
        <f>E53*F53</f>
        <v>841.19741594017808</v>
      </c>
      <c r="K53" s="370">
        <f>E53*G53</f>
        <v>420.59870797008904</v>
      </c>
      <c r="L53" s="371">
        <f>H53*E53</f>
        <v>1261.7961239102672</v>
      </c>
      <c r="M53" s="371">
        <f>I53*E53</f>
        <v>1599.9574851182188</v>
      </c>
      <c r="N53" s="578"/>
      <c r="O53" s="532"/>
      <c r="P53" s="532"/>
      <c r="Q53" s="532"/>
      <c r="R53" s="532"/>
      <c r="S53" s="19">
        <v>21.391489491282737</v>
      </c>
      <c r="T53" s="19">
        <f t="shared" si="2"/>
        <v>0.21391489491282736</v>
      </c>
      <c r="U53" s="439">
        <f>T53*$T$57</f>
        <v>1599.9574851182235</v>
      </c>
      <c r="V53" s="19">
        <v>1599.9574851182199</v>
      </c>
      <c r="W53" s="33"/>
      <c r="X53" s="33"/>
      <c r="Y53" s="33"/>
      <c r="Z53" s="33"/>
    </row>
    <row r="54" spans="1:26" s="19" customFormat="1" ht="25.5">
      <c r="A54" s="24"/>
      <c r="B54" s="24" t="s">
        <v>730</v>
      </c>
      <c r="C54" s="403" t="s">
        <v>981</v>
      </c>
      <c r="D54" s="26" t="s">
        <v>212</v>
      </c>
      <c r="E54" s="100">
        <v>143.63999999999999</v>
      </c>
      <c r="F54" s="370">
        <f>G54*1.5</f>
        <v>11.772299006983113</v>
      </c>
      <c r="G54" s="370">
        <v>7.848199337988742</v>
      </c>
      <c r="H54" s="370">
        <f t="shared" ref="H54:H56" si="33">F54+G54</f>
        <v>19.620498344971857</v>
      </c>
      <c r="I54" s="370">
        <f>H54*(1+'BDI - HABITAÇÃO'!$C$22)</f>
        <v>24.878791901424314</v>
      </c>
      <c r="J54" s="370">
        <f>E54*F54</f>
        <v>1690.9730293630541</v>
      </c>
      <c r="K54" s="370">
        <f>E54*G54</f>
        <v>1127.3153529087028</v>
      </c>
      <c r="L54" s="371">
        <f>H54*E54</f>
        <v>2818.2883822717572</v>
      </c>
      <c r="M54" s="371">
        <f>I54*E54</f>
        <v>3573.5896687205882</v>
      </c>
      <c r="N54" s="578"/>
      <c r="O54" s="532"/>
      <c r="P54" s="532"/>
      <c r="Q54" s="532"/>
      <c r="R54" s="532"/>
      <c r="S54" s="19">
        <v>47.779023227573113</v>
      </c>
      <c r="T54" s="19">
        <f t="shared" si="2"/>
        <v>0.47779023227573114</v>
      </c>
      <c r="U54" s="439">
        <f>T54*$T$57</f>
        <v>3573.5896687205905</v>
      </c>
      <c r="V54" s="19">
        <v>3573.58966872059</v>
      </c>
      <c r="W54" s="33"/>
      <c r="X54" s="33"/>
      <c r="Y54" s="33"/>
      <c r="Z54" s="33"/>
    </row>
    <row r="55" spans="1:26" s="19" customFormat="1" ht="15.75">
      <c r="A55" s="24"/>
      <c r="B55" s="24" t="s">
        <v>731</v>
      </c>
      <c r="C55" s="403" t="s">
        <v>982</v>
      </c>
      <c r="D55" s="26" t="s">
        <v>218</v>
      </c>
      <c r="E55" s="100">
        <v>76.742000000000004</v>
      </c>
      <c r="F55" s="370">
        <f t="shared" ref="F55:F56" si="34">G55*1.5</f>
        <v>7.5042052705836104</v>
      </c>
      <c r="G55" s="370">
        <v>5.0028035137224069</v>
      </c>
      <c r="H55" s="370">
        <f t="shared" si="33"/>
        <v>12.507008784306016</v>
      </c>
      <c r="I55" s="370">
        <f>H55*(1+'BDI - HABITAÇÃO'!$C$22)</f>
        <v>15.858887138500029</v>
      </c>
      <c r="J55" s="370">
        <f>E55*F55</f>
        <v>575.88772087512746</v>
      </c>
      <c r="K55" s="370">
        <f>E55*G55</f>
        <v>383.92514725008499</v>
      </c>
      <c r="L55" s="371">
        <f>H55*E55</f>
        <v>959.81286812521239</v>
      </c>
      <c r="M55" s="371">
        <f>I55*E55</f>
        <v>1217.0427167827693</v>
      </c>
      <c r="N55" s="578"/>
      <c r="O55" s="532"/>
      <c r="P55" s="532"/>
      <c r="Q55" s="532"/>
      <c r="R55" s="532"/>
      <c r="S55" s="19">
        <v>16.271905177891085</v>
      </c>
      <c r="T55" s="19">
        <f t="shared" si="2"/>
        <v>0.16271905177891086</v>
      </c>
      <c r="U55" s="439">
        <f>T55*$T$57</f>
        <v>1217.0427167827702</v>
      </c>
      <c r="V55" s="19">
        <v>1217.04271678277</v>
      </c>
      <c r="W55" s="33"/>
      <c r="X55" s="33"/>
      <c r="Y55" s="33"/>
      <c r="Z55" s="33"/>
    </row>
    <row r="56" spans="1:26" s="19" customFormat="1" ht="15.75">
      <c r="A56" s="24"/>
      <c r="B56" s="24" t="s">
        <v>732</v>
      </c>
      <c r="C56" s="403" t="s">
        <v>983</v>
      </c>
      <c r="D56" s="26" t="s">
        <v>212</v>
      </c>
      <c r="E56" s="100">
        <f>E48-E54</f>
        <v>48.220000000000027</v>
      </c>
      <c r="F56" s="370">
        <f t="shared" si="34"/>
        <v>10.684678426983622</v>
      </c>
      <c r="G56" s="370">
        <v>7.1231189513224145</v>
      </c>
      <c r="H56" s="370">
        <f t="shared" si="33"/>
        <v>17.807797378306034</v>
      </c>
      <c r="I56" s="370">
        <f>H56*(1+'BDI - HABITAÇÃO'!$C$22)</f>
        <v>22.580287075692052</v>
      </c>
      <c r="J56" s="370">
        <f>E56*F56</f>
        <v>515.21519374915056</v>
      </c>
      <c r="K56" s="370">
        <f>E56*G56</f>
        <v>343.47679583276704</v>
      </c>
      <c r="L56" s="371">
        <f>H56*E56</f>
        <v>858.69198958191748</v>
      </c>
      <c r="M56" s="371">
        <f>I56*E56</f>
        <v>1088.8214427898713</v>
      </c>
      <c r="N56" s="578"/>
      <c r="O56" s="532"/>
      <c r="P56" s="532"/>
      <c r="Q56" s="532"/>
      <c r="R56" s="532"/>
      <c r="S56" s="19">
        <v>14.55758210325307</v>
      </c>
      <c r="T56" s="19">
        <f t="shared" si="2"/>
        <v>0.14557582103253069</v>
      </c>
      <c r="U56" s="439">
        <f>T56*$T$57</f>
        <v>1088.8214427898713</v>
      </c>
      <c r="V56" s="19">
        <v>1088.8214427898699</v>
      </c>
      <c r="W56" s="33"/>
      <c r="X56" s="33"/>
      <c r="Y56" s="33"/>
      <c r="Z56" s="33"/>
    </row>
    <row r="57" spans="1:26" s="19" customFormat="1" ht="15.75">
      <c r="A57" s="380"/>
      <c r="B57" s="380" t="s">
        <v>739</v>
      </c>
      <c r="C57" s="437" t="s">
        <v>388</v>
      </c>
      <c r="D57" s="382"/>
      <c r="E57" s="383"/>
      <c r="F57" s="383"/>
      <c r="G57" s="383"/>
      <c r="H57" s="383"/>
      <c r="I57" s="383"/>
      <c r="J57" s="383"/>
      <c r="K57" s="383"/>
      <c r="L57" s="384"/>
      <c r="M57" s="384"/>
      <c r="N57" s="578"/>
      <c r="O57" s="534">
        <f>SUM(M53:M56)</f>
        <v>7479.4113134114468</v>
      </c>
      <c r="P57" s="532">
        <f>O57/$M$66</f>
        <v>5.9486515901133658E-2</v>
      </c>
      <c r="Q57" s="532">
        <f>P57*$N$12</f>
        <v>2.0959538499121327E-3</v>
      </c>
      <c r="R57" s="535">
        <f>Q57*100</f>
        <v>0.20959538499121327</v>
      </c>
      <c r="S57" s="263">
        <f>SUM(M53:M56)</f>
        <v>7479.4113134114468</v>
      </c>
      <c r="T57" s="263">
        <f>V7*$M$148</f>
        <v>7479.411313411455</v>
      </c>
      <c r="U57" s="39" t="str">
        <f>IF(T57=S57,"BOA GAROTO","FAZ BATER")</f>
        <v>FAZ BATER</v>
      </c>
      <c r="W57" s="33"/>
      <c r="X57" s="33"/>
      <c r="Y57" s="33"/>
      <c r="Z57" s="33"/>
    </row>
    <row r="58" spans="1:26" s="19" customFormat="1" ht="15.75">
      <c r="A58" s="24"/>
      <c r="B58" s="24" t="s">
        <v>735</v>
      </c>
      <c r="C58" s="403" t="s">
        <v>736</v>
      </c>
      <c r="D58" s="26" t="s">
        <v>693</v>
      </c>
      <c r="E58" s="100">
        <v>11</v>
      </c>
      <c r="F58" s="370">
        <f>G58*1.5</f>
        <v>103.63546862997069</v>
      </c>
      <c r="G58" s="370">
        <v>69.090312419980464</v>
      </c>
      <c r="H58" s="370">
        <f t="shared" ref="H58:H59" si="35">F58+G58</f>
        <v>172.72578104995114</v>
      </c>
      <c r="I58" s="370">
        <f>H58*(1+'BDI - HABITAÇÃO'!$C$22)</f>
        <v>219.01629037133804</v>
      </c>
      <c r="J58" s="370">
        <f>E58*F58</f>
        <v>1139.9901549296776</v>
      </c>
      <c r="K58" s="370">
        <f>E58*G58</f>
        <v>759.99343661978514</v>
      </c>
      <c r="L58" s="371">
        <f>H58*E58</f>
        <v>1899.9835915494625</v>
      </c>
      <c r="M58" s="371">
        <f>I58*E58</f>
        <v>2409.1791940847183</v>
      </c>
      <c r="N58" s="578"/>
      <c r="O58" s="532"/>
      <c r="P58" s="532"/>
      <c r="Q58" s="532"/>
      <c r="R58" s="532"/>
      <c r="S58" s="19">
        <v>41.706669226830513</v>
      </c>
      <c r="T58" s="19">
        <f t="shared" si="2"/>
        <v>0.41706669226830512</v>
      </c>
      <c r="U58" s="439">
        <f>T58*$T$60</f>
        <v>2409.1791940847179</v>
      </c>
      <c r="V58" s="19">
        <v>2409.1791940847202</v>
      </c>
      <c r="W58" s="33"/>
      <c r="X58" s="33"/>
      <c r="Y58" s="33"/>
      <c r="Z58" s="33"/>
    </row>
    <row r="59" spans="1:26" s="19" customFormat="1" ht="15.75">
      <c r="A59" s="24"/>
      <c r="B59" s="24" t="s">
        <v>737</v>
      </c>
      <c r="C59" s="403" t="s">
        <v>738</v>
      </c>
      <c r="D59" s="26" t="s">
        <v>693</v>
      </c>
      <c r="E59" s="100">
        <v>10</v>
      </c>
      <c r="F59" s="370">
        <f>G59*1.75</f>
        <v>168.99294266647007</v>
      </c>
      <c r="G59" s="370">
        <v>96.567395809411465</v>
      </c>
      <c r="H59" s="370">
        <f t="shared" si="35"/>
        <v>265.56033847588151</v>
      </c>
      <c r="I59" s="370">
        <f>H59*(1+'BDI - HABITAÇÃO'!$C$22)</f>
        <v>336.73050918741774</v>
      </c>
      <c r="J59" s="370">
        <f>E59*F59</f>
        <v>1689.9294266647007</v>
      </c>
      <c r="K59" s="370">
        <f>E59*G59</f>
        <v>965.6739580941146</v>
      </c>
      <c r="L59" s="371">
        <f>H59*E59</f>
        <v>2655.6033847588151</v>
      </c>
      <c r="M59" s="371">
        <f>I59*E59</f>
        <v>3367.3050918741774</v>
      </c>
      <c r="N59" s="578"/>
      <c r="O59" s="532"/>
      <c r="P59" s="532"/>
      <c r="Q59" s="532"/>
      <c r="R59" s="532"/>
      <c r="S59" s="19">
        <v>58.293330773169494</v>
      </c>
      <c r="T59" s="19">
        <f t="shared" si="2"/>
        <v>0.58293330773169494</v>
      </c>
      <c r="U59" s="439">
        <f>T59*$T$60</f>
        <v>3367.3050918741756</v>
      </c>
      <c r="V59" s="19">
        <v>3367.3050918741801</v>
      </c>
      <c r="W59" s="33"/>
      <c r="X59" s="33"/>
      <c r="Y59" s="33"/>
      <c r="Z59" s="33"/>
    </row>
    <row r="60" spans="1:26" s="19" customFormat="1" ht="15.75">
      <c r="A60" s="380"/>
      <c r="B60" s="380" t="s">
        <v>745</v>
      </c>
      <c r="C60" s="437" t="s">
        <v>749</v>
      </c>
      <c r="D60" s="382"/>
      <c r="E60" s="383"/>
      <c r="F60" s="383"/>
      <c r="G60" s="383"/>
      <c r="H60" s="383"/>
      <c r="I60" s="383"/>
      <c r="J60" s="383"/>
      <c r="K60" s="383"/>
      <c r="L60" s="384"/>
      <c r="M60" s="384"/>
      <c r="N60" s="578"/>
      <c r="O60" s="534">
        <f>SUM(M58:M59)</f>
        <v>5776.4842859588953</v>
      </c>
      <c r="P60" s="532">
        <f>O60/$M$66</f>
        <v>4.5942509367440057E-2</v>
      </c>
      <c r="Q60" s="532">
        <f>P60*$N$12</f>
        <v>1.6187429693033193E-3</v>
      </c>
      <c r="R60" s="535">
        <f>Q60*100</f>
        <v>0.16187429693033192</v>
      </c>
      <c r="S60" s="420">
        <f>SUM(M58:M59)</f>
        <v>5776.4842859588953</v>
      </c>
      <c r="T60" s="263">
        <f>V8*$M$148</f>
        <v>5776.4842859588935</v>
      </c>
      <c r="U60" s="39" t="str">
        <f>IF(T60=S60,"BOA GAROTO","FAZ BATER")</f>
        <v>FAZ BATER</v>
      </c>
      <c r="W60" s="33"/>
      <c r="X60" s="33"/>
      <c r="Y60" s="33"/>
      <c r="Z60" s="33"/>
    </row>
    <row r="61" spans="1:26" s="19" customFormat="1" ht="15.75">
      <c r="A61" s="24"/>
      <c r="B61" s="24" t="s">
        <v>740</v>
      </c>
      <c r="C61" s="403" t="s">
        <v>984</v>
      </c>
      <c r="D61" s="26" t="s">
        <v>212</v>
      </c>
      <c r="E61" s="100">
        <f>E44</f>
        <v>316.48</v>
      </c>
      <c r="F61" s="370">
        <f>G61*1.5</f>
        <v>4.483382695754381</v>
      </c>
      <c r="G61" s="370">
        <v>2.9889217971695876</v>
      </c>
      <c r="H61" s="370">
        <f t="shared" ref="H61" si="36">F61+G61</f>
        <v>7.4723044929239686</v>
      </c>
      <c r="I61" s="370">
        <f>H61*(1+'BDI - HABITAÇÃO'!$C$22)</f>
        <v>9.4748820970275922</v>
      </c>
      <c r="J61" s="370">
        <f>E61*F61</f>
        <v>1418.9009555523467</v>
      </c>
      <c r="K61" s="370">
        <f>E61*G61</f>
        <v>945.93397036823114</v>
      </c>
      <c r="L61" s="371">
        <f>H61*E61</f>
        <v>2364.8349259205779</v>
      </c>
      <c r="M61" s="371">
        <f>I61*E61</f>
        <v>2998.6106860672926</v>
      </c>
      <c r="N61" s="578"/>
      <c r="O61" s="532"/>
      <c r="P61" s="532"/>
      <c r="Q61" s="532"/>
      <c r="R61" s="532"/>
      <c r="S61" s="542">
        <v>22.218079876818521</v>
      </c>
      <c r="T61" s="19">
        <f t="shared" si="2"/>
        <v>0.22218079876818522</v>
      </c>
      <c r="U61" s="439">
        <f>T61*$T$66</f>
        <v>2998.6106860672903</v>
      </c>
      <c r="V61" s="19">
        <v>2998.6106860672899</v>
      </c>
      <c r="W61" s="526"/>
      <c r="X61" s="33"/>
      <c r="Y61" s="33"/>
      <c r="Z61" s="33"/>
    </row>
    <row r="62" spans="1:26" s="19" customFormat="1" ht="15.75">
      <c r="A62" s="24"/>
      <c r="B62" s="24" t="s">
        <v>741</v>
      </c>
      <c r="C62" s="403" t="s">
        <v>985</v>
      </c>
      <c r="D62" s="26" t="s">
        <v>212</v>
      </c>
      <c r="E62" s="100">
        <f>E44+E48</f>
        <v>508.34000000000003</v>
      </c>
      <c r="F62" s="370">
        <f>G62*1.7</f>
        <v>3.5125291608008919</v>
      </c>
      <c r="G62" s="370">
        <v>2.0661936240005248</v>
      </c>
      <c r="H62" s="370">
        <f t="shared" ref="H62:H65" si="37">F62+G62</f>
        <v>5.5787227848014167</v>
      </c>
      <c r="I62" s="370">
        <f>H62*(1+'BDI - HABITAÇÃO'!$C$22)</f>
        <v>7.0738204911281963</v>
      </c>
      <c r="J62" s="370">
        <f>E62*F62</f>
        <v>1785.5590736015256</v>
      </c>
      <c r="K62" s="370">
        <f>E62*G62</f>
        <v>1050.3288668244268</v>
      </c>
      <c r="L62" s="371">
        <f>H62*E62</f>
        <v>2835.8879404259524</v>
      </c>
      <c r="M62" s="371">
        <f>I62*E62</f>
        <v>3595.9059084601076</v>
      </c>
      <c r="N62" s="578"/>
      <c r="O62" s="532"/>
      <c r="P62" s="532"/>
      <c r="Q62" s="532"/>
      <c r="R62" s="532"/>
      <c r="S62" s="542">
        <v>26.643713728797646</v>
      </c>
      <c r="T62" s="19">
        <f t="shared" si="2"/>
        <v>0.26643713728797647</v>
      </c>
      <c r="U62" s="439">
        <f>T62*$T$66</f>
        <v>3595.9059084601095</v>
      </c>
      <c r="V62" s="19">
        <v>3595.9059084601099</v>
      </c>
      <c r="W62" s="526"/>
      <c r="X62" s="33"/>
      <c r="Y62" s="33"/>
      <c r="Z62" s="33"/>
    </row>
    <row r="63" spans="1:26" s="19" customFormat="1" ht="15.75">
      <c r="A63" s="24"/>
      <c r="B63" s="24" t="s">
        <v>742</v>
      </c>
      <c r="C63" s="403" t="s">
        <v>986</v>
      </c>
      <c r="D63" s="26" t="s">
        <v>212</v>
      </c>
      <c r="E63" s="100">
        <v>18.48</v>
      </c>
      <c r="F63" s="370">
        <f>G63*1.7</f>
        <v>8.6076498540269011</v>
      </c>
      <c r="G63" s="370">
        <v>5.0633234435452366</v>
      </c>
      <c r="H63" s="370">
        <f t="shared" si="37"/>
        <v>13.670973297572138</v>
      </c>
      <c r="I63" s="370">
        <f>H63*(1+'BDI - HABITAÇÃO'!$C$22)</f>
        <v>17.334794141321471</v>
      </c>
      <c r="J63" s="370">
        <f>E63*F63</f>
        <v>159.06936930241713</v>
      </c>
      <c r="K63" s="370">
        <f>E63*G63</f>
        <v>93.570217236715976</v>
      </c>
      <c r="L63" s="371">
        <f>H63*E63</f>
        <v>252.63958653913312</v>
      </c>
      <c r="M63" s="371">
        <f>I63*E63</f>
        <v>320.34699573162078</v>
      </c>
      <c r="N63" s="578"/>
      <c r="O63" s="532"/>
      <c r="P63" s="532"/>
      <c r="Q63" s="532"/>
      <c r="R63" s="532"/>
      <c r="S63" s="542">
        <v>2.3735976038952455</v>
      </c>
      <c r="T63" s="19">
        <f t="shared" si="2"/>
        <v>2.3735976038952455E-2</v>
      </c>
      <c r="U63" s="439">
        <f>T63*$T$66</f>
        <v>320.34699573162101</v>
      </c>
      <c r="V63" s="19">
        <v>320.34699573162101</v>
      </c>
      <c r="W63" s="526"/>
      <c r="X63" s="33"/>
      <c r="Y63" s="33"/>
      <c r="Z63" s="33"/>
    </row>
    <row r="64" spans="1:26" s="19" customFormat="1" ht="15.75">
      <c r="A64" s="24"/>
      <c r="B64" s="24" t="s">
        <v>743</v>
      </c>
      <c r="C64" s="403" t="s">
        <v>987</v>
      </c>
      <c r="D64" s="26" t="s">
        <v>212</v>
      </c>
      <c r="E64" s="100">
        <f>E26</f>
        <v>276.36</v>
      </c>
      <c r="F64" s="370">
        <f t="shared" ref="F64" si="38">G64*1.5</f>
        <v>4.7695978862497217</v>
      </c>
      <c r="G64" s="370">
        <v>3.179731924166481</v>
      </c>
      <c r="H64" s="370">
        <f t="shared" si="37"/>
        <v>7.9493298104162022</v>
      </c>
      <c r="I64" s="370">
        <f>H64*(1+'BDI - HABITAÇÃO'!$C$22)</f>
        <v>10.079750199607744</v>
      </c>
      <c r="J64" s="370">
        <f>E64*F64</f>
        <v>1318.1260718439732</v>
      </c>
      <c r="K64" s="370">
        <f>E64*G64</f>
        <v>878.75071456264868</v>
      </c>
      <c r="L64" s="371">
        <f>H64*E64</f>
        <v>2196.8767864066217</v>
      </c>
      <c r="M64" s="371">
        <f>I64*E64</f>
        <v>2785.6397651635962</v>
      </c>
      <c r="N64" s="578"/>
      <c r="O64" s="532"/>
      <c r="P64" s="532"/>
      <c r="Q64" s="532"/>
      <c r="R64" s="532"/>
      <c r="S64" s="542">
        <v>20.640080787418949</v>
      </c>
      <c r="T64" s="19">
        <f t="shared" si="2"/>
        <v>0.20640080787418949</v>
      </c>
      <c r="U64" s="439">
        <f>T64*$T$66</f>
        <v>2785.6397651635898</v>
      </c>
      <c r="V64" s="19">
        <v>2785.6397651635898</v>
      </c>
      <c r="W64" s="526"/>
      <c r="X64" s="33"/>
      <c r="Y64" s="33"/>
      <c r="Z64" s="33"/>
    </row>
    <row r="65" spans="1:26" s="19" customFormat="1" ht="15.75">
      <c r="A65" s="24"/>
      <c r="B65" s="24" t="s">
        <v>744</v>
      </c>
      <c r="C65" s="403" t="s">
        <v>988</v>
      </c>
      <c r="D65" s="26" t="s">
        <v>212</v>
      </c>
      <c r="E65" s="100">
        <f>E45</f>
        <v>189.41499999999999</v>
      </c>
      <c r="F65" s="370">
        <f>G65*1.56</f>
        <v>9.6305217057147079</v>
      </c>
      <c r="G65" s="370">
        <v>6.1734113498171199</v>
      </c>
      <c r="H65" s="370">
        <f t="shared" si="37"/>
        <v>15.803933055531829</v>
      </c>
      <c r="I65" s="370">
        <f>H65*(1+'BDI - HABITAÇÃO'!$C$22)</f>
        <v>20.03938711441436</v>
      </c>
      <c r="J65" s="370">
        <f>E65*F65</f>
        <v>1824.1652688879512</v>
      </c>
      <c r="K65" s="370">
        <f>E65*G65</f>
        <v>1169.3367108256098</v>
      </c>
      <c r="L65" s="371">
        <f>H65*E65</f>
        <v>2993.501979713561</v>
      </c>
      <c r="M65" s="371">
        <f>I65*E65</f>
        <v>3795.7605102767957</v>
      </c>
      <c r="N65" s="578"/>
      <c r="O65" s="532"/>
      <c r="P65" s="532"/>
      <c r="Q65" s="532"/>
      <c r="R65" s="532"/>
      <c r="S65" s="542">
        <v>28.124528003069642</v>
      </c>
      <c r="T65" s="19">
        <f t="shared" si="2"/>
        <v>0.28124528003069643</v>
      </c>
      <c r="U65" s="439">
        <f>T65*$T$66</f>
        <v>3795.7605102767998</v>
      </c>
      <c r="V65" s="19">
        <v>3795.7605102767998</v>
      </c>
      <c r="W65" s="526"/>
      <c r="X65" s="33"/>
      <c r="Y65" s="33"/>
      <c r="Z65" s="33"/>
    </row>
    <row r="66" spans="1:26" s="19" customFormat="1" ht="15.75">
      <c r="A66" s="264"/>
      <c r="B66" s="56"/>
      <c r="C66" s="429" t="s">
        <v>220</v>
      </c>
      <c r="D66" s="56"/>
      <c r="E66" s="265"/>
      <c r="F66" s="265"/>
      <c r="G66" s="265"/>
      <c r="H66" s="265"/>
      <c r="I66" s="265"/>
      <c r="J66" s="265"/>
      <c r="K66" s="265"/>
      <c r="L66" s="266"/>
      <c r="M66" s="372">
        <f>SUM(M13:M65)</f>
        <v>125732.88584999998</v>
      </c>
      <c r="N66" s="579"/>
      <c r="O66" s="534">
        <f>SUM(M61:M65)</f>
        <v>13496.263865699413</v>
      </c>
      <c r="P66" s="532">
        <f>O66/$M$66</f>
        <v>0.10734076271660964</v>
      </c>
      <c r="Q66" s="532">
        <f>P66*$N$12</f>
        <v>3.7820551676332947E-3</v>
      </c>
      <c r="R66" s="535">
        <f>Q66*100</f>
        <v>0.37820551676332947</v>
      </c>
      <c r="S66" s="420">
        <f>SUM(M61:M65)</f>
        <v>13496.263865699413</v>
      </c>
      <c r="T66" s="263">
        <f>SUM(V61:V65)</f>
        <v>13496.26386569941</v>
      </c>
      <c r="U66" s="39" t="str">
        <f>IF(T66=S66,"BOA GAROTO","FAZ BATER")</f>
        <v>BOA GAROTO</v>
      </c>
      <c r="W66" s="33"/>
      <c r="X66" s="33"/>
      <c r="Y66" s="33"/>
      <c r="Z66" s="33"/>
    </row>
    <row r="67" spans="1:26" s="19" customFormat="1">
      <c r="A67" s="380">
        <v>2</v>
      </c>
      <c r="B67" s="380"/>
      <c r="C67" s="437" t="s">
        <v>478</v>
      </c>
      <c r="D67" s="382"/>
      <c r="E67" s="383"/>
      <c r="F67" s="383"/>
      <c r="G67" s="383"/>
      <c r="H67" s="383"/>
      <c r="I67" s="383"/>
      <c r="J67" s="383"/>
      <c r="K67" s="383"/>
      <c r="L67" s="384"/>
      <c r="M67" s="384"/>
      <c r="N67" s="395"/>
      <c r="O67" s="531"/>
      <c r="P67" s="531"/>
      <c r="Q67" s="531"/>
      <c r="R67" s="531"/>
      <c r="T67" s="410">
        <v>125732.88585000001</v>
      </c>
      <c r="U67" s="39" t="str">
        <f>IF(T67=M66,"BOA GAROTO","FAZ BATER")</f>
        <v>BOA GAROTO</v>
      </c>
      <c r="V67" s="439">
        <f>T67-M66</f>
        <v>0</v>
      </c>
      <c r="W67" s="411"/>
      <c r="X67" s="33"/>
      <c r="Y67" s="33"/>
      <c r="Z67" s="33"/>
    </row>
    <row r="68" spans="1:26" s="19" customFormat="1" ht="15.75">
      <c r="A68" s="380"/>
      <c r="B68" s="380" t="s">
        <v>1</v>
      </c>
      <c r="C68" s="437" t="s">
        <v>750</v>
      </c>
      <c r="D68" s="382"/>
      <c r="E68" s="383"/>
      <c r="F68" s="383"/>
      <c r="G68" s="383"/>
      <c r="H68" s="383"/>
      <c r="I68" s="383"/>
      <c r="J68" s="383"/>
      <c r="K68" s="383"/>
      <c r="L68" s="384"/>
      <c r="M68" s="384"/>
      <c r="N68" s="577">
        <f>M113/$M$148</f>
        <v>5.4945000000000029E-3</v>
      </c>
      <c r="O68" s="532"/>
      <c r="P68" s="532"/>
      <c r="Q68" s="532"/>
      <c r="R68" s="532"/>
      <c r="S68" s="19">
        <v>6.6049999999999984E-2</v>
      </c>
      <c r="T68" s="19">
        <f>S68/100</f>
        <v>6.6049999999999985E-4</v>
      </c>
      <c r="U68" s="410">
        <f>T68*$M$148</f>
        <v>2356.9942499999993</v>
      </c>
      <c r="V68" s="420">
        <f>SUM(M69:M71)</f>
        <v>2356.994249999997</v>
      </c>
      <c r="W68" s="39" t="str">
        <f>IF(V68=U68,"BOA GAROTO","FAZ BATER")</f>
        <v>BOA GAROTO</v>
      </c>
      <c r="X68" s="33"/>
      <c r="Y68" s="33"/>
      <c r="Z68" s="33"/>
    </row>
    <row r="69" spans="1:26" s="19" customFormat="1" ht="25.5">
      <c r="A69" s="24"/>
      <c r="B69" s="24" t="s">
        <v>746</v>
      </c>
      <c r="C69" s="403" t="s">
        <v>989</v>
      </c>
      <c r="D69" s="26" t="s">
        <v>212</v>
      </c>
      <c r="E69" s="100">
        <v>13.69</v>
      </c>
      <c r="F69" s="370">
        <f>G69*1.5</f>
        <v>8.1934088539563987</v>
      </c>
      <c r="G69" s="370">
        <v>5.4622725693042655</v>
      </c>
      <c r="H69" s="370">
        <f t="shared" ref="H69:H70" si="39">F69+G69</f>
        <v>13.655681423260663</v>
      </c>
      <c r="I69" s="370">
        <f>H69*(1+'BDI - HABITAÇÃO'!$C$22)</f>
        <v>17.315404044694521</v>
      </c>
      <c r="J69" s="370">
        <f>E69*F69</f>
        <v>112.1677672106631</v>
      </c>
      <c r="K69" s="370">
        <f>E69*G69</f>
        <v>74.778511473775396</v>
      </c>
      <c r="L69" s="371">
        <f>H69*E69</f>
        <v>186.94627868443848</v>
      </c>
      <c r="M69" s="371">
        <f>I69*E69</f>
        <v>237.04788137186799</v>
      </c>
      <c r="N69" s="578"/>
      <c r="O69" s="532"/>
      <c r="P69" s="532"/>
      <c r="Q69" s="532"/>
      <c r="R69" s="532"/>
      <c r="S69" s="19">
        <f>100-SUM(S70:S71)</f>
        <v>10.057210846902493</v>
      </c>
      <c r="T69" s="19">
        <f t="shared" ref="T69:T112" si="40">S69/100</f>
        <v>0.10057210846902492</v>
      </c>
      <c r="U69" s="39">
        <f>T69*$U$68</f>
        <v>237.04788137186799</v>
      </c>
      <c r="V69" s="19">
        <v>237.04788137186799</v>
      </c>
      <c r="W69" s="33"/>
      <c r="X69" s="33"/>
      <c r="Y69" s="33"/>
      <c r="Z69" s="33"/>
    </row>
    <row r="70" spans="1:26" s="19" customFormat="1" ht="25.5">
      <c r="A70" s="24"/>
      <c r="B70" s="24" t="s">
        <v>747</v>
      </c>
      <c r="C70" s="403" t="s">
        <v>990</v>
      </c>
      <c r="D70" s="26" t="s">
        <v>214</v>
      </c>
      <c r="E70" s="100">
        <v>0.4</v>
      </c>
      <c r="F70" s="370">
        <f>G70*1.5</f>
        <v>1461.5158946026654</v>
      </c>
      <c r="G70" s="370">
        <v>974.34392973511035</v>
      </c>
      <c r="H70" s="370">
        <f t="shared" si="39"/>
        <v>2435.8598243377755</v>
      </c>
      <c r="I70" s="370">
        <f>H70*(1+'BDI - HABITAÇÃO'!$C$22)</f>
        <v>3088.6702572602994</v>
      </c>
      <c r="J70" s="370">
        <f>E70*F70</f>
        <v>584.60635784106614</v>
      </c>
      <c r="K70" s="370">
        <f>E70*G70</f>
        <v>389.73757189404415</v>
      </c>
      <c r="L70" s="371">
        <f>H70*E70</f>
        <v>974.34392973511024</v>
      </c>
      <c r="M70" s="371">
        <f>I70*E70</f>
        <v>1235.4681029041199</v>
      </c>
      <c r="N70" s="578"/>
      <c r="O70" s="532"/>
      <c r="P70" s="532"/>
      <c r="Q70" s="532"/>
      <c r="R70" s="532"/>
      <c r="S70" s="19">
        <v>52.417102965105755</v>
      </c>
      <c r="T70" s="19">
        <f t="shared" si="40"/>
        <v>0.52417102965105755</v>
      </c>
      <c r="U70" s="39">
        <f t="shared" ref="U70:U71" si="41">T70*$U$68</f>
        <v>1235.4681029041217</v>
      </c>
      <c r="V70" s="19">
        <v>1235.4681029041201</v>
      </c>
      <c r="W70" s="33"/>
      <c r="X70" s="33"/>
      <c r="Y70" s="33"/>
      <c r="Z70" s="33"/>
    </row>
    <row r="71" spans="1:26" s="19" customFormat="1" ht="25.5">
      <c r="A71" s="24"/>
      <c r="B71" s="24" t="s">
        <v>748</v>
      </c>
      <c r="C71" s="403" t="s">
        <v>954</v>
      </c>
      <c r="D71" s="26" t="s">
        <v>214</v>
      </c>
      <c r="E71" s="100">
        <v>0.7</v>
      </c>
      <c r="F71" s="370">
        <f>G71*1.5</f>
        <v>597.88976952952407</v>
      </c>
      <c r="G71" s="370">
        <v>398.59317968634934</v>
      </c>
      <c r="H71" s="370">
        <f t="shared" ref="H71" si="42">F71+G71</f>
        <v>996.48294921587342</v>
      </c>
      <c r="I71" s="370">
        <f>H71*(1+'BDI - HABITAÇÃO'!$C$22)</f>
        <v>1263.5403796057276</v>
      </c>
      <c r="J71" s="370">
        <f>E71*F71</f>
        <v>418.52283867066683</v>
      </c>
      <c r="K71" s="370">
        <f>E71*G71</f>
        <v>279.0152257804445</v>
      </c>
      <c r="L71" s="371">
        <f>H71*E71</f>
        <v>697.53806445111138</v>
      </c>
      <c r="M71" s="371">
        <f>I71*E71</f>
        <v>884.47826572400925</v>
      </c>
      <c r="N71" s="578"/>
      <c r="O71" s="532"/>
      <c r="P71" s="532"/>
      <c r="Q71" s="532"/>
      <c r="R71" s="532"/>
      <c r="S71" s="19">
        <v>37.525686187991752</v>
      </c>
      <c r="T71" s="19">
        <f t="shared" si="40"/>
        <v>0.37525686187991752</v>
      </c>
      <c r="U71" s="39">
        <f t="shared" si="41"/>
        <v>884.47826572400947</v>
      </c>
      <c r="V71" s="19">
        <v>884.47826572400902</v>
      </c>
      <c r="W71" s="33"/>
      <c r="X71" s="33"/>
      <c r="Y71" s="33"/>
      <c r="Z71" s="33"/>
    </row>
    <row r="72" spans="1:26" s="19" customFormat="1" ht="15.75">
      <c r="A72" s="380"/>
      <c r="B72" s="380" t="s">
        <v>2</v>
      </c>
      <c r="C72" s="437" t="s">
        <v>701</v>
      </c>
      <c r="D72" s="382"/>
      <c r="E72" s="383"/>
      <c r="F72" s="383"/>
      <c r="G72" s="383"/>
      <c r="H72" s="383"/>
      <c r="I72" s="383"/>
      <c r="J72" s="383"/>
      <c r="K72" s="383"/>
      <c r="L72" s="384"/>
      <c r="M72" s="384"/>
      <c r="N72" s="578"/>
      <c r="O72" s="534">
        <f>SUM(M68:M71)</f>
        <v>2356.994249999997</v>
      </c>
      <c r="P72" s="532">
        <f>O72/$M$113</f>
        <v>0.12021112021111999</v>
      </c>
      <c r="Q72" s="535">
        <f>P72*$N$68*100</f>
        <v>6.6049999999999914E-2</v>
      </c>
      <c r="R72" s="532"/>
      <c r="S72" s="544">
        <v>0.06</v>
      </c>
      <c r="T72" s="545">
        <f>S72/100</f>
        <v>5.9999999999999995E-4</v>
      </c>
      <c r="U72" s="410">
        <f>T72*$M$148</f>
        <v>2141.1</v>
      </c>
      <c r="V72" s="420">
        <f>SUM(M73:M76)</f>
        <v>2141.1000000000004</v>
      </c>
      <c r="W72" s="39" t="str">
        <f>IF(V72=U72,"BOA GAROTO","FAZ BATER")</f>
        <v>BOA GAROTO</v>
      </c>
      <c r="X72" s="33"/>
      <c r="Y72" s="33"/>
      <c r="Z72" s="33"/>
    </row>
    <row r="73" spans="1:26" s="19" customFormat="1" ht="38.25">
      <c r="A73" s="24"/>
      <c r="B73" s="24" t="s">
        <v>751</v>
      </c>
      <c r="C73" s="166" t="s">
        <v>949</v>
      </c>
      <c r="D73" s="26" t="s">
        <v>214</v>
      </c>
      <c r="E73" s="100">
        <v>0.4</v>
      </c>
      <c r="F73" s="370">
        <f t="shared" ref="F73:F76" si="43">G73*1.5</f>
        <v>886.49645110410074</v>
      </c>
      <c r="G73" s="370">
        <v>590.99763406940053</v>
      </c>
      <c r="H73" s="370">
        <f t="shared" ref="H73:H76" si="44">F73+G73</f>
        <v>1477.4940851735014</v>
      </c>
      <c r="I73" s="370">
        <f>H73*(1+'BDI - HABITAÇÃO'!$C$22)</f>
        <v>1873.4624999999999</v>
      </c>
      <c r="J73" s="370">
        <f>E73*F73</f>
        <v>354.59858044164031</v>
      </c>
      <c r="K73" s="370">
        <f>E73*G73</f>
        <v>236.39905362776022</v>
      </c>
      <c r="L73" s="371">
        <f>H73*E73</f>
        <v>590.99763406940053</v>
      </c>
      <c r="M73" s="371">
        <f>I73*E73</f>
        <v>749.38499999999999</v>
      </c>
      <c r="N73" s="578"/>
      <c r="O73" s="532"/>
      <c r="P73" s="532"/>
      <c r="Q73" s="532"/>
      <c r="R73" s="532"/>
      <c r="S73" s="19">
        <v>35</v>
      </c>
      <c r="T73" s="19">
        <f t="shared" si="40"/>
        <v>0.35</v>
      </c>
      <c r="U73" s="39">
        <f>T73*$U$72</f>
        <v>749.38499999999988</v>
      </c>
      <c r="V73" s="19">
        <v>749.38499999999999</v>
      </c>
      <c r="W73" s="39" t="str">
        <f>IF(V73=M73,"BOA GAROTO","FAZ BATER")</f>
        <v>BOA GAROTO</v>
      </c>
      <c r="X73" s="33"/>
      <c r="Y73" s="33"/>
      <c r="Z73" s="33"/>
    </row>
    <row r="74" spans="1:26" s="19" customFormat="1" ht="25.5">
      <c r="A74" s="24"/>
      <c r="B74" s="24" t="s">
        <v>752</v>
      </c>
      <c r="C74" s="403" t="s">
        <v>950</v>
      </c>
      <c r="D74" s="26" t="s">
        <v>214</v>
      </c>
      <c r="E74" s="100">
        <v>0.5</v>
      </c>
      <c r="F74" s="370">
        <f t="shared" si="43"/>
        <v>405.25552050473186</v>
      </c>
      <c r="G74" s="370">
        <v>270.17034700315457</v>
      </c>
      <c r="H74" s="370">
        <f t="shared" si="44"/>
        <v>675.42586750788644</v>
      </c>
      <c r="I74" s="370">
        <f>H74*(1+'BDI - HABITAÇÃO'!$C$22)</f>
        <v>856.44</v>
      </c>
      <c r="J74" s="370">
        <f>E74*F74</f>
        <v>202.62776025236593</v>
      </c>
      <c r="K74" s="370">
        <f>E74*G74</f>
        <v>135.08517350157729</v>
      </c>
      <c r="L74" s="371">
        <f>H74*E74</f>
        <v>337.71293375394322</v>
      </c>
      <c r="M74" s="371">
        <f>I74*E74</f>
        <v>428.22</v>
      </c>
      <c r="N74" s="578"/>
      <c r="O74" s="532"/>
      <c r="P74" s="532"/>
      <c r="Q74" s="532"/>
      <c r="R74" s="532"/>
      <c r="S74" s="19">
        <v>20</v>
      </c>
      <c r="T74" s="19">
        <f t="shared" si="40"/>
        <v>0.2</v>
      </c>
      <c r="U74" s="39">
        <f t="shared" ref="U74:U76" si="45">T74*$U$72</f>
        <v>428.22</v>
      </c>
      <c r="V74" s="19">
        <v>428.22</v>
      </c>
      <c r="W74" s="39" t="str">
        <f>IF(V74=M74,"BOA GAROTO","FAZ BATER")</f>
        <v>BOA GAROTO</v>
      </c>
      <c r="X74" s="33"/>
      <c r="Y74" s="33"/>
      <c r="Z74" s="33"/>
    </row>
    <row r="75" spans="1:26" s="19" customFormat="1" ht="25.5">
      <c r="A75" s="24"/>
      <c r="B75" s="24" t="s">
        <v>753</v>
      </c>
      <c r="C75" s="403" t="s">
        <v>951</v>
      </c>
      <c r="D75" s="26" t="s">
        <v>212</v>
      </c>
      <c r="E75" s="100">
        <v>11.5</v>
      </c>
      <c r="F75" s="370">
        <f t="shared" ref="F75" si="46">G75*1.5</f>
        <v>33.037134823755324</v>
      </c>
      <c r="G75" s="370">
        <v>22.024756549170213</v>
      </c>
      <c r="H75" s="370">
        <f t="shared" ref="H75" si="47">F75+G75</f>
        <v>55.061891372925537</v>
      </c>
      <c r="I75" s="370">
        <f>H75*(1+'BDI - HABITAÇÃO'!$C$22)</f>
        <v>69.818478260869583</v>
      </c>
      <c r="J75" s="370">
        <f>E75*F75</f>
        <v>379.92705047318623</v>
      </c>
      <c r="K75" s="370">
        <f>E75*G75</f>
        <v>253.28470031545746</v>
      </c>
      <c r="L75" s="371">
        <f>H75*E75</f>
        <v>633.21175078864371</v>
      </c>
      <c r="M75" s="371">
        <f>I75*E75</f>
        <v>802.91250000000025</v>
      </c>
      <c r="N75" s="578"/>
      <c r="O75" s="532"/>
      <c r="P75" s="532"/>
      <c r="Q75" s="532"/>
      <c r="R75" s="532"/>
      <c r="S75" s="19">
        <v>37.5</v>
      </c>
      <c r="T75" s="19">
        <f t="shared" ref="T75" si="48">S75/100</f>
        <v>0.375</v>
      </c>
      <c r="U75" s="39">
        <f t="shared" ref="U75" si="49">T75*$U$72</f>
        <v>802.91249999999991</v>
      </c>
      <c r="V75" s="19">
        <v>802.91250000000002</v>
      </c>
      <c r="W75" s="39" t="str">
        <f>IF(V75=M75,"BOA GAROTO","FAZ BATER")</f>
        <v>BOA GAROTO</v>
      </c>
      <c r="X75" s="33"/>
      <c r="Y75" s="33"/>
      <c r="Z75" s="33"/>
    </row>
    <row r="76" spans="1:26" s="19" customFormat="1" ht="25.5">
      <c r="A76" s="24"/>
      <c r="B76" s="24" t="s">
        <v>832</v>
      </c>
      <c r="C76" s="403" t="s">
        <v>952</v>
      </c>
      <c r="D76" s="26" t="s">
        <v>214</v>
      </c>
      <c r="E76" s="100">
        <v>0.3</v>
      </c>
      <c r="F76" s="370">
        <f t="shared" si="43"/>
        <v>253.28470031545748</v>
      </c>
      <c r="G76" s="370">
        <v>168.85646687697167</v>
      </c>
      <c r="H76" s="370">
        <f t="shared" si="44"/>
        <v>422.14116719242918</v>
      </c>
      <c r="I76" s="370">
        <f>H76*(1+'BDI - HABITAÇÃO'!$C$22)</f>
        <v>535.2750000000002</v>
      </c>
      <c r="J76" s="370">
        <f>E76*F76</f>
        <v>75.985410094637245</v>
      </c>
      <c r="K76" s="370">
        <f>E76*G76</f>
        <v>50.656940063091497</v>
      </c>
      <c r="L76" s="371">
        <f>H76*E76</f>
        <v>126.64235015772874</v>
      </c>
      <c r="M76" s="371">
        <f>I76*E76</f>
        <v>160.58250000000007</v>
      </c>
      <c r="N76" s="578"/>
      <c r="O76" s="532"/>
      <c r="P76" s="532"/>
      <c r="Q76" s="532"/>
      <c r="R76" s="532"/>
      <c r="S76" s="19">
        <v>7.5</v>
      </c>
      <c r="T76" s="19">
        <f t="shared" si="40"/>
        <v>7.4999999999999997E-2</v>
      </c>
      <c r="U76" s="39">
        <f t="shared" si="45"/>
        <v>160.58249999999998</v>
      </c>
      <c r="V76" s="19">
        <v>160.58250000000001</v>
      </c>
      <c r="W76" s="39" t="str">
        <f>IF(V76=M76,"BOA GAROTO","FAZ BATER")</f>
        <v>BOA GAROTO</v>
      </c>
      <c r="X76" s="33"/>
      <c r="Y76" s="33"/>
      <c r="Z76" s="33"/>
    </row>
    <row r="77" spans="1:26" s="19" customFormat="1" ht="15.75">
      <c r="A77" s="380"/>
      <c r="B77" s="380" t="s">
        <v>55</v>
      </c>
      <c r="C77" s="437" t="s">
        <v>702</v>
      </c>
      <c r="D77" s="382"/>
      <c r="E77" s="383"/>
      <c r="F77" s="383"/>
      <c r="G77" s="383"/>
      <c r="H77" s="383"/>
      <c r="I77" s="383"/>
      <c r="J77" s="383"/>
      <c r="K77" s="383"/>
      <c r="L77" s="384"/>
      <c r="M77" s="384"/>
      <c r="N77" s="578"/>
      <c r="O77" s="534">
        <f>SUM(M73:M76)</f>
        <v>2141.1000000000004</v>
      </c>
      <c r="P77" s="532">
        <f>O77/$M$113</f>
        <v>0.10920010920010916</v>
      </c>
      <c r="Q77" s="535">
        <f>P77*$N$68*100</f>
        <v>6.0000000000000005E-2</v>
      </c>
      <c r="R77" s="532"/>
      <c r="S77" s="440">
        <v>0.04</v>
      </c>
      <c r="T77" s="19">
        <f>S77/100</f>
        <v>4.0000000000000002E-4</v>
      </c>
      <c r="U77" s="410">
        <f>T77*$M$148</f>
        <v>1427.4</v>
      </c>
      <c r="V77" s="420">
        <f>SUM(M77:M79)</f>
        <v>1427.4000000000012</v>
      </c>
      <c r="W77" s="39" t="str">
        <f>IF(V77=U77,"BOA GAROTO","FAZ BATER")</f>
        <v>BOA GAROTO</v>
      </c>
      <c r="X77" s="33"/>
      <c r="Y77" s="33"/>
      <c r="Z77" s="33"/>
    </row>
    <row r="78" spans="1:26" s="19" customFormat="1" ht="15.75">
      <c r="A78" s="24"/>
      <c r="B78" s="24" t="s">
        <v>754</v>
      </c>
      <c r="C78" s="403" t="s">
        <v>968</v>
      </c>
      <c r="D78" s="26" t="s">
        <v>212</v>
      </c>
      <c r="E78" s="100">
        <v>47.935000000000002</v>
      </c>
      <c r="F78" s="370">
        <f>G78*1.55</f>
        <v>14.274641990511725</v>
      </c>
      <c r="G78" s="370">
        <v>9.2094464454914355</v>
      </c>
      <c r="H78" s="370">
        <f t="shared" ref="H78" si="50">F78+G78</f>
        <v>23.484088436003162</v>
      </c>
      <c r="I78" s="370">
        <f>H78*(1+'BDI - HABITAÇÃO'!$C$22)</f>
        <v>29.777824136852011</v>
      </c>
      <c r="J78" s="370">
        <f>E78*F78</f>
        <v>684.25496381517962</v>
      </c>
      <c r="K78" s="370">
        <f>E78*G78</f>
        <v>441.454815364632</v>
      </c>
      <c r="L78" s="371">
        <f>H78*E78</f>
        <v>1125.7097791798117</v>
      </c>
      <c r="M78" s="371">
        <f>I78*E78</f>
        <v>1427.4000000000012</v>
      </c>
      <c r="N78" s="578"/>
      <c r="O78" s="532"/>
      <c r="P78" s="532"/>
      <c r="Q78" s="532"/>
      <c r="R78" s="532"/>
      <c r="S78" s="19">
        <v>100</v>
      </c>
      <c r="T78" s="19">
        <f t="shared" si="40"/>
        <v>1</v>
      </c>
      <c r="U78" s="39">
        <v>1427.4</v>
      </c>
      <c r="W78" s="33"/>
      <c r="X78" s="33"/>
      <c r="Y78" s="33"/>
      <c r="Z78" s="33"/>
    </row>
    <row r="79" spans="1:26" s="19" customFormat="1" ht="15.75">
      <c r="A79" s="380"/>
      <c r="B79" s="380" t="s">
        <v>56</v>
      </c>
      <c r="C79" s="437" t="s">
        <v>706</v>
      </c>
      <c r="D79" s="382"/>
      <c r="E79" s="383"/>
      <c r="F79" s="383"/>
      <c r="G79" s="383"/>
      <c r="H79" s="383"/>
      <c r="I79" s="383"/>
      <c r="J79" s="383"/>
      <c r="K79" s="383"/>
      <c r="L79" s="384"/>
      <c r="M79" s="384"/>
      <c r="N79" s="578"/>
      <c r="O79" s="534">
        <f>SUM(M78)</f>
        <v>1427.4000000000012</v>
      </c>
      <c r="P79" s="532">
        <f>O79/$M$113</f>
        <v>7.2800072800072821E-2</v>
      </c>
      <c r="Q79" s="535">
        <f>P79*$N$68*100</f>
        <v>4.0000000000000036E-2</v>
      </c>
      <c r="R79" s="532"/>
      <c r="S79" s="440">
        <v>7.3954042314698057E-2</v>
      </c>
      <c r="T79" s="19">
        <f>S79/100</f>
        <v>7.3954042314698057E-4</v>
      </c>
      <c r="U79" s="410">
        <f>T79*$M$148</f>
        <v>2639.05</v>
      </c>
      <c r="V79" s="420">
        <f>SUM(M80:M81)</f>
        <v>2639.0500000000038</v>
      </c>
      <c r="W79" s="39" t="str">
        <f>IF(V79=U79,"BOA GAROTO","FAZ BATER")</f>
        <v>BOA GAROTO</v>
      </c>
      <c r="X79" s="33"/>
      <c r="Y79" s="33"/>
      <c r="Z79" s="33"/>
    </row>
    <row r="80" spans="1:26" s="19" customFormat="1" ht="25.5">
      <c r="A80" s="24"/>
      <c r="B80" s="24" t="s">
        <v>755</v>
      </c>
      <c r="C80" s="403" t="s">
        <v>970</v>
      </c>
      <c r="D80" s="26" t="s">
        <v>212</v>
      </c>
      <c r="E80" s="100">
        <v>13.69</v>
      </c>
      <c r="F80" s="370">
        <f>G80*1.5</f>
        <v>57.634475531888071</v>
      </c>
      <c r="G80" s="370">
        <v>38.422983687925381</v>
      </c>
      <c r="H80" s="370">
        <f t="shared" ref="H80:H81" si="51">F80+G80</f>
        <v>96.057459219813452</v>
      </c>
      <c r="I80" s="370">
        <f>H80*(1+'BDI - HABITAÇÃO'!$C$22)</f>
        <v>121.80085829072345</v>
      </c>
      <c r="J80" s="370">
        <f>E80*F80</f>
        <v>789.01597003154768</v>
      </c>
      <c r="K80" s="370">
        <f>E80*G80</f>
        <v>526.01064668769845</v>
      </c>
      <c r="L80" s="371">
        <f>H80*E80</f>
        <v>1315.026616719246</v>
      </c>
      <c r="M80" s="371">
        <f>I80*E80</f>
        <v>1667.453750000004</v>
      </c>
      <c r="N80" s="578"/>
      <c r="O80" s="532"/>
      <c r="P80" s="532"/>
      <c r="Q80" s="532"/>
      <c r="R80" s="532"/>
      <c r="S80" s="19">
        <v>63.183863511490806</v>
      </c>
      <c r="T80" s="19">
        <f t="shared" si="40"/>
        <v>0.63183863511490801</v>
      </c>
      <c r="U80" s="39">
        <f>T80*$U$79</f>
        <v>1667.4537499999981</v>
      </c>
      <c r="V80" s="19">
        <v>1667.4537499999999</v>
      </c>
      <c r="W80" s="39" t="str">
        <f>IF(V80=M80,"BOA GAROTO","FAZ BATER")</f>
        <v>BOA GAROTO</v>
      </c>
      <c r="X80" s="33"/>
      <c r="Y80" s="33"/>
      <c r="Z80" s="33"/>
    </row>
    <row r="81" spans="1:26" s="19" customFormat="1" ht="25.5">
      <c r="A81" s="24"/>
      <c r="B81" s="24" t="s">
        <v>756</v>
      </c>
      <c r="C81" s="403" t="s">
        <v>971</v>
      </c>
      <c r="D81" s="26" t="s">
        <v>212</v>
      </c>
      <c r="E81" s="100">
        <v>13.69</v>
      </c>
      <c r="F81" s="370">
        <f>G81*1.55</f>
        <v>34.021593091338509</v>
      </c>
      <c r="G81" s="370">
        <v>21.949414897637748</v>
      </c>
      <c r="H81" s="370">
        <f t="shared" si="51"/>
        <v>55.971007988976254</v>
      </c>
      <c r="I81" s="370">
        <f>H81*(1+'BDI - HABITAÇÃO'!$C$22)</f>
        <v>70.971238130021888</v>
      </c>
      <c r="J81" s="370">
        <f>E81*F81</f>
        <v>465.75560942042415</v>
      </c>
      <c r="K81" s="370">
        <f>E81*G81</f>
        <v>300.48748994866077</v>
      </c>
      <c r="L81" s="371">
        <f>H81*E81</f>
        <v>766.24309936908492</v>
      </c>
      <c r="M81" s="371">
        <f>I81*E81</f>
        <v>971.5962499999996</v>
      </c>
      <c r="N81" s="578"/>
      <c r="O81" s="532"/>
      <c r="P81" s="532"/>
      <c r="Q81" s="532"/>
      <c r="R81" s="532"/>
      <c r="S81" s="19">
        <v>36.816136488509123</v>
      </c>
      <c r="T81" s="19">
        <f t="shared" si="40"/>
        <v>0.36816136488509121</v>
      </c>
      <c r="U81" s="39">
        <f t="shared" ref="U81" si="52">T81*$U$79</f>
        <v>971.59625000000005</v>
      </c>
      <c r="V81" s="19">
        <v>971.59625000000005</v>
      </c>
      <c r="W81" s="39" t="str">
        <f>IF(V81=M81,"BOA GAROTO","FAZ BATER")</f>
        <v>BOA GAROTO</v>
      </c>
      <c r="X81" s="33"/>
      <c r="Y81" s="33"/>
      <c r="Z81" s="33"/>
    </row>
    <row r="82" spans="1:26" s="19" customFormat="1" ht="15.75">
      <c r="A82" s="380"/>
      <c r="B82" s="380" t="s">
        <v>57</v>
      </c>
      <c r="C82" s="437" t="s">
        <v>717</v>
      </c>
      <c r="D82" s="382"/>
      <c r="E82" s="383"/>
      <c r="F82" s="383"/>
      <c r="G82" s="383"/>
      <c r="H82" s="383"/>
      <c r="I82" s="383"/>
      <c r="J82" s="383"/>
      <c r="K82" s="383"/>
      <c r="L82" s="384"/>
      <c r="M82" s="384"/>
      <c r="N82" s="578"/>
      <c r="O82" s="534">
        <f>SUM(M80:M81)</f>
        <v>2639.0500000000038</v>
      </c>
      <c r="P82" s="532">
        <f>O82/$M$113</f>
        <v>0.13459649160924217</v>
      </c>
      <c r="Q82" s="535">
        <f>P82*$N$68*100</f>
        <v>7.395404231469814E-2</v>
      </c>
      <c r="R82" s="532"/>
      <c r="S82" s="19">
        <v>9.7639064032506662E-2</v>
      </c>
      <c r="T82" s="19">
        <f>S82/100</f>
        <v>9.7639064032506656E-4</v>
      </c>
      <c r="U82" s="410">
        <f>T82*$M$148</f>
        <v>3484.25</v>
      </c>
      <c r="V82" s="420">
        <f>SUM(M83:M91,X81)</f>
        <v>3484.250000000005</v>
      </c>
      <c r="W82" s="39" t="str">
        <f>IF(V82=U82,"BOA GAROTO","FAZ BATER")</f>
        <v>FAZ BATER</v>
      </c>
      <c r="X82" s="526">
        <f>SUM(S83:S91)</f>
        <v>100</v>
      </c>
      <c r="Y82" s="33"/>
      <c r="Z82" s="33"/>
    </row>
    <row r="83" spans="1:26" s="19" customFormat="1" ht="15.75">
      <c r="A83" s="24"/>
      <c r="B83" s="24" t="s">
        <v>757</v>
      </c>
      <c r="C83" s="403" t="s">
        <v>1027</v>
      </c>
      <c r="D83" s="26" t="s">
        <v>218</v>
      </c>
      <c r="E83" s="100">
        <v>173.1</v>
      </c>
      <c r="F83" s="370">
        <f>G83*1.25</f>
        <v>0.88190231410358422</v>
      </c>
      <c r="G83" s="370">
        <v>0.70552185128286737</v>
      </c>
      <c r="H83" s="370">
        <f t="shared" ref="H83" si="53">F83+G83</f>
        <v>1.5874241653864516</v>
      </c>
      <c r="I83" s="370">
        <f>H83*(1+'BDI - HABITAÇÃO'!$C$22)</f>
        <v>2.0128538417100206</v>
      </c>
      <c r="J83" s="370">
        <f t="shared" ref="J83:J88" si="54">E83*F83</f>
        <v>152.65729057133044</v>
      </c>
      <c r="K83" s="370">
        <f t="shared" ref="K83:K88" si="55">E83*G83</f>
        <v>122.12583245706433</v>
      </c>
      <c r="L83" s="371">
        <f t="shared" ref="L83:L88" si="56">H83*E83</f>
        <v>274.78312302839475</v>
      </c>
      <c r="M83" s="371">
        <f t="shared" ref="M83:M88" si="57">I83*E83</f>
        <v>348.42500000000456</v>
      </c>
      <c r="N83" s="578"/>
      <c r="O83" s="532"/>
      <c r="P83" s="532"/>
      <c r="Q83" s="532"/>
      <c r="R83" s="532"/>
      <c r="S83" s="546">
        <v>10</v>
      </c>
      <c r="T83" s="19">
        <f t="shared" si="40"/>
        <v>0.1</v>
      </c>
      <c r="U83" s="39">
        <f>T83*$U$82</f>
        <v>348.42500000000001</v>
      </c>
      <c r="V83" s="19">
        <v>348.42500000000001</v>
      </c>
      <c r="W83" s="39" t="str">
        <f t="shared" ref="W83:W91" si="58">IF(V83=M83,"BOA GAROTO","FAZ BATER")</f>
        <v>FAZ BATER</v>
      </c>
      <c r="X83" s="439"/>
      <c r="Y83" s="33"/>
      <c r="Z83" s="33"/>
    </row>
    <row r="84" spans="1:26" s="19" customFormat="1" ht="15.75">
      <c r="A84" s="24"/>
      <c r="B84" s="24" t="s">
        <v>758</v>
      </c>
      <c r="C84" s="403" t="s">
        <v>1019</v>
      </c>
      <c r="D84" s="26" t="s">
        <v>218</v>
      </c>
      <c r="E84" s="100">
        <v>173.1</v>
      </c>
      <c r="F84" s="370">
        <f>G84*2</f>
        <v>3.7473620762236965</v>
      </c>
      <c r="G84" s="370">
        <v>1.8736810381118483</v>
      </c>
      <c r="H84" s="370">
        <f t="shared" ref="H84:H88" si="59">F84+G84</f>
        <v>5.6210431143355448</v>
      </c>
      <c r="I84" s="370">
        <f>H84*(1+'BDI - HABITAÇÃO'!$C$22)</f>
        <v>7.1274826689774713</v>
      </c>
      <c r="J84" s="370">
        <f t="shared" si="54"/>
        <v>648.66837539432186</v>
      </c>
      <c r="K84" s="370">
        <f t="shared" si="55"/>
        <v>324.33418769716093</v>
      </c>
      <c r="L84" s="371">
        <f t="shared" si="56"/>
        <v>973.00256309148278</v>
      </c>
      <c r="M84" s="371">
        <f t="shared" si="57"/>
        <v>1233.7672500000003</v>
      </c>
      <c r="N84" s="578"/>
      <c r="O84" s="532"/>
      <c r="P84" s="532"/>
      <c r="Q84" s="532"/>
      <c r="R84" s="532"/>
      <c r="S84" s="546">
        <v>35.409837124201758</v>
      </c>
      <c r="T84" s="19">
        <f t="shared" si="40"/>
        <v>0.3540983712420176</v>
      </c>
      <c r="U84" s="39">
        <f t="shared" ref="U84:U91" si="60">T84*$U$82</f>
        <v>1233.7672499999999</v>
      </c>
      <c r="V84" s="19">
        <v>1233.7672500000001</v>
      </c>
      <c r="W84" s="39" t="str">
        <f t="shared" si="58"/>
        <v>BOA GAROTO</v>
      </c>
      <c r="X84" s="439"/>
      <c r="Y84" s="33"/>
      <c r="Z84" s="33"/>
    </row>
    <row r="85" spans="1:26" s="19" customFormat="1" ht="15.75">
      <c r="A85" s="24"/>
      <c r="B85" s="24" t="s">
        <v>759</v>
      </c>
      <c r="C85" s="403" t="s">
        <v>1020</v>
      </c>
      <c r="D85" s="26" t="s">
        <v>693</v>
      </c>
      <c r="E85" s="100">
        <v>1</v>
      </c>
      <c r="F85" s="370">
        <f>G85*2</f>
        <v>366.37749737118827</v>
      </c>
      <c r="G85" s="370">
        <v>183.18874868559413</v>
      </c>
      <c r="H85" s="370">
        <f t="shared" ref="H85" si="61">F85+G85</f>
        <v>549.56624605678235</v>
      </c>
      <c r="I85" s="370">
        <f>H85*(1+'BDI - HABITAÇÃO'!$C$22)</f>
        <v>696.85</v>
      </c>
      <c r="J85" s="370">
        <f t="shared" ref="J85" si="62">E85*F85</f>
        <v>366.37749737118827</v>
      </c>
      <c r="K85" s="370">
        <f t="shared" ref="K85" si="63">E85*G85</f>
        <v>183.18874868559413</v>
      </c>
      <c r="L85" s="371">
        <f t="shared" ref="L85" si="64">H85*E85</f>
        <v>549.56624605678235</v>
      </c>
      <c r="M85" s="371">
        <f t="shared" ref="M85" si="65">I85*E85</f>
        <v>696.85</v>
      </c>
      <c r="N85" s="578"/>
      <c r="O85" s="532"/>
      <c r="P85" s="532"/>
      <c r="Q85" s="532"/>
      <c r="R85" s="532"/>
      <c r="S85" s="546">
        <v>20</v>
      </c>
      <c r="T85" s="19">
        <f t="shared" si="40"/>
        <v>0.2</v>
      </c>
      <c r="U85" s="39">
        <f t="shared" si="60"/>
        <v>696.85</v>
      </c>
      <c r="V85" s="19">
        <v>696.85</v>
      </c>
      <c r="W85" s="39" t="str">
        <f t="shared" si="58"/>
        <v>BOA GAROTO</v>
      </c>
      <c r="X85" s="439"/>
      <c r="Y85" s="33"/>
      <c r="Z85" s="33"/>
    </row>
    <row r="86" spans="1:26" s="19" customFormat="1" ht="15.75">
      <c r="A86" s="24"/>
      <c r="B86" s="24" t="s">
        <v>760</v>
      </c>
      <c r="C86" s="403" t="s">
        <v>991</v>
      </c>
      <c r="D86" s="26" t="s">
        <v>693</v>
      </c>
      <c r="E86" s="100">
        <v>12</v>
      </c>
      <c r="F86" s="370">
        <f>G86*1.5</f>
        <v>8.2434936908517358</v>
      </c>
      <c r="G86" s="370">
        <v>5.4956624605678233</v>
      </c>
      <c r="H86" s="370">
        <f t="shared" si="59"/>
        <v>13.739156151419559</v>
      </c>
      <c r="I86" s="370">
        <f>H86*(1+'BDI - HABITAÇÃO'!$C$22)</f>
        <v>17.421250000000001</v>
      </c>
      <c r="J86" s="370">
        <f t="shared" si="54"/>
        <v>98.921924290220829</v>
      </c>
      <c r="K86" s="370">
        <f t="shared" si="55"/>
        <v>65.947949526813886</v>
      </c>
      <c r="L86" s="371">
        <f t="shared" si="56"/>
        <v>164.86987381703472</v>
      </c>
      <c r="M86" s="371">
        <f t="shared" si="57"/>
        <v>209.05500000000001</v>
      </c>
      <c r="N86" s="578"/>
      <c r="O86" s="532"/>
      <c r="P86" s="532"/>
      <c r="Q86" s="532"/>
      <c r="R86" s="532"/>
      <c r="S86" s="546">
        <v>6</v>
      </c>
      <c r="T86" s="19">
        <f t="shared" si="40"/>
        <v>0.06</v>
      </c>
      <c r="U86" s="39">
        <f t="shared" si="60"/>
        <v>209.05499999999998</v>
      </c>
      <c r="V86" s="19">
        <v>209.05500000000001</v>
      </c>
      <c r="W86" s="39" t="str">
        <f t="shared" si="58"/>
        <v>BOA GAROTO</v>
      </c>
      <c r="X86" s="439"/>
      <c r="Y86" s="33"/>
      <c r="Z86" s="33"/>
    </row>
    <row r="87" spans="1:26" s="19" customFormat="1" ht="15.75">
      <c r="A87" s="24"/>
      <c r="B87" s="24" t="s">
        <v>761</v>
      </c>
      <c r="C87" s="403" t="s">
        <v>992</v>
      </c>
      <c r="D87" s="26" t="s">
        <v>218</v>
      </c>
      <c r="E87" s="100">
        <v>24.05</v>
      </c>
      <c r="F87" s="370">
        <f>G87*1.25</f>
        <v>3.9005882854463305</v>
      </c>
      <c r="G87" s="370">
        <v>3.1204706283570642</v>
      </c>
      <c r="H87" s="370">
        <f t="shared" si="59"/>
        <v>7.0210589138033948</v>
      </c>
      <c r="I87" s="370">
        <f>H87*(1+'BDI - HABITAÇÃO'!$C$22)</f>
        <v>8.9027027027027046</v>
      </c>
      <c r="J87" s="370">
        <f t="shared" si="54"/>
        <v>93.809148264984245</v>
      </c>
      <c r="K87" s="370">
        <f t="shared" si="55"/>
        <v>75.047318611987393</v>
      </c>
      <c r="L87" s="371">
        <f t="shared" si="56"/>
        <v>168.85646687697164</v>
      </c>
      <c r="M87" s="371">
        <f t="shared" si="57"/>
        <v>214.11000000000004</v>
      </c>
      <c r="N87" s="578"/>
      <c r="O87" s="532"/>
      <c r="P87" s="532"/>
      <c r="Q87" s="532"/>
      <c r="R87" s="532"/>
      <c r="S87" s="546">
        <v>6.1450814378991181</v>
      </c>
      <c r="T87" s="19">
        <f t="shared" si="40"/>
        <v>6.1450814378991178E-2</v>
      </c>
      <c r="U87" s="39">
        <f t="shared" si="60"/>
        <v>214.11</v>
      </c>
      <c r="V87" s="19">
        <v>214.11</v>
      </c>
      <c r="W87" s="39" t="str">
        <f t="shared" si="58"/>
        <v>BOA GAROTO</v>
      </c>
      <c r="X87" s="439"/>
      <c r="Y87" s="33"/>
      <c r="Z87" s="33"/>
    </row>
    <row r="88" spans="1:26" s="19" customFormat="1" ht="15.75">
      <c r="A88" s="24"/>
      <c r="B88" s="24" t="s">
        <v>762</v>
      </c>
      <c r="C88" s="403" t="s">
        <v>993</v>
      </c>
      <c r="D88" s="26" t="s">
        <v>693</v>
      </c>
      <c r="E88" s="100">
        <v>1</v>
      </c>
      <c r="F88" s="370">
        <f>G88</f>
        <v>84.428233438485819</v>
      </c>
      <c r="G88" s="370">
        <v>84.428233438485819</v>
      </c>
      <c r="H88" s="370">
        <f t="shared" si="59"/>
        <v>168.85646687697164</v>
      </c>
      <c r="I88" s="370">
        <f>H88*(1+'BDI - HABITAÇÃO'!$C$22)</f>
        <v>214.11000000000004</v>
      </c>
      <c r="J88" s="370">
        <f t="shared" si="54"/>
        <v>84.428233438485819</v>
      </c>
      <c r="K88" s="370">
        <f t="shared" si="55"/>
        <v>84.428233438485819</v>
      </c>
      <c r="L88" s="371">
        <f t="shared" si="56"/>
        <v>168.85646687697164</v>
      </c>
      <c r="M88" s="371">
        <f t="shared" si="57"/>
        <v>214.11000000000004</v>
      </c>
      <c r="N88" s="578"/>
      <c r="O88" s="532"/>
      <c r="P88" s="532"/>
      <c r="Q88" s="532"/>
      <c r="R88" s="532"/>
      <c r="S88" s="546">
        <v>6.1450814378991181</v>
      </c>
      <c r="T88" s="19">
        <f t="shared" si="40"/>
        <v>6.1450814378991178E-2</v>
      </c>
      <c r="U88" s="39">
        <f t="shared" si="60"/>
        <v>214.11</v>
      </c>
      <c r="V88" s="19">
        <v>214.11</v>
      </c>
      <c r="W88" s="39" t="str">
        <f t="shared" si="58"/>
        <v>BOA GAROTO</v>
      </c>
      <c r="X88" s="439"/>
      <c r="Y88" s="33"/>
      <c r="Z88" s="33"/>
    </row>
    <row r="89" spans="1:26" s="19" customFormat="1" ht="38.25">
      <c r="A89" s="24"/>
      <c r="B89" s="24" t="s">
        <v>1022</v>
      </c>
      <c r="C89" s="403" t="s">
        <v>1008</v>
      </c>
      <c r="D89" s="26" t="s">
        <v>693</v>
      </c>
      <c r="E89" s="100">
        <v>1</v>
      </c>
      <c r="F89" s="370">
        <f>G89*2</f>
        <v>109.91324921135647</v>
      </c>
      <c r="G89" s="370">
        <v>54.956624605678236</v>
      </c>
      <c r="H89" s="370">
        <f t="shared" ref="H89:H91" si="66">F89+G89</f>
        <v>164.86987381703472</v>
      </c>
      <c r="I89" s="370">
        <f>H89*(1+'BDI - HABITAÇÃO'!$C$22)</f>
        <v>209.05500000000004</v>
      </c>
      <c r="J89" s="370">
        <f t="shared" ref="J89:J91" si="67">E89*F89</f>
        <v>109.91324921135647</v>
      </c>
      <c r="K89" s="370">
        <f t="shared" ref="K89:K91" si="68">E89*G89</f>
        <v>54.956624605678236</v>
      </c>
      <c r="L89" s="371">
        <f t="shared" ref="L89:L91" si="69">H89*E89</f>
        <v>164.86987381703472</v>
      </c>
      <c r="M89" s="371">
        <f t="shared" ref="M89:M91" si="70">I89*E89</f>
        <v>209.05500000000004</v>
      </c>
      <c r="N89" s="578"/>
      <c r="O89" s="532"/>
      <c r="P89" s="532"/>
      <c r="Q89" s="532"/>
      <c r="R89" s="532"/>
      <c r="S89" s="546">
        <v>6</v>
      </c>
      <c r="T89" s="19">
        <f t="shared" si="40"/>
        <v>0.06</v>
      </c>
      <c r="U89" s="39">
        <f t="shared" si="60"/>
        <v>209.05499999999998</v>
      </c>
      <c r="V89" s="19">
        <v>209.05500000000001</v>
      </c>
      <c r="W89" s="39" t="str">
        <f t="shared" si="58"/>
        <v>BOA GAROTO</v>
      </c>
      <c r="X89" s="439"/>
      <c r="Y89" s="33"/>
      <c r="Z89" s="33"/>
    </row>
    <row r="90" spans="1:26" s="19" customFormat="1" ht="25.5">
      <c r="A90" s="24"/>
      <c r="B90" s="24" t="s">
        <v>1023</v>
      </c>
      <c r="C90" s="403" t="s">
        <v>1025</v>
      </c>
      <c r="D90" s="26" t="s">
        <v>693</v>
      </c>
      <c r="E90" s="100">
        <v>1</v>
      </c>
      <c r="F90" s="370">
        <f>G90*2</f>
        <v>124.56834910620401</v>
      </c>
      <c r="G90" s="370">
        <v>62.284174553102005</v>
      </c>
      <c r="H90" s="370">
        <f t="shared" si="66"/>
        <v>186.85252365930603</v>
      </c>
      <c r="I90" s="370">
        <f>H90*(1+'BDI - HABITAÇÃO'!$C$22)</f>
        <v>236.92900000000006</v>
      </c>
      <c r="J90" s="370">
        <f t="shared" si="67"/>
        <v>124.56834910620401</v>
      </c>
      <c r="K90" s="370">
        <f t="shared" si="68"/>
        <v>62.284174553102005</v>
      </c>
      <c r="L90" s="371">
        <f t="shared" si="69"/>
        <v>186.85252365930603</v>
      </c>
      <c r="M90" s="371">
        <f t="shared" si="70"/>
        <v>236.92900000000006</v>
      </c>
      <c r="N90" s="578"/>
      <c r="O90" s="532"/>
      <c r="P90" s="532"/>
      <c r="Q90" s="532"/>
      <c r="R90" s="532"/>
      <c r="S90" s="546">
        <v>6.8</v>
      </c>
      <c r="T90" s="19">
        <f t="shared" si="40"/>
        <v>6.8000000000000005E-2</v>
      </c>
      <c r="U90" s="39">
        <f t="shared" si="60"/>
        <v>236.92900000000003</v>
      </c>
      <c r="V90" s="19">
        <v>236.929</v>
      </c>
      <c r="W90" s="39" t="str">
        <f t="shared" si="58"/>
        <v>BOA GAROTO</v>
      </c>
      <c r="X90" s="439"/>
      <c r="Y90" s="33"/>
      <c r="Z90" s="33"/>
    </row>
    <row r="91" spans="1:26" s="19" customFormat="1" ht="51">
      <c r="A91" s="24"/>
      <c r="B91" s="24" t="s">
        <v>1024</v>
      </c>
      <c r="C91" s="403" t="s">
        <v>1026</v>
      </c>
      <c r="D91" s="26" t="s">
        <v>693</v>
      </c>
      <c r="E91" s="100">
        <v>1</v>
      </c>
      <c r="F91" s="370">
        <f>G91*4</f>
        <v>76.939274447949543</v>
      </c>
      <c r="G91" s="370">
        <v>19.234818611987386</v>
      </c>
      <c r="H91" s="370">
        <f t="shared" si="66"/>
        <v>96.174093059936922</v>
      </c>
      <c r="I91" s="370">
        <f>H91*(1+'BDI - HABITAÇÃO'!$C$22)</f>
        <v>121.94875000000002</v>
      </c>
      <c r="J91" s="370">
        <f t="shared" si="67"/>
        <v>76.939274447949543</v>
      </c>
      <c r="K91" s="370">
        <f t="shared" si="68"/>
        <v>19.234818611987386</v>
      </c>
      <c r="L91" s="371">
        <f t="shared" si="69"/>
        <v>96.174093059936922</v>
      </c>
      <c r="M91" s="371">
        <f t="shared" si="70"/>
        <v>121.94875000000002</v>
      </c>
      <c r="N91" s="578"/>
      <c r="O91" s="532"/>
      <c r="P91" s="532"/>
      <c r="Q91" s="532"/>
      <c r="R91" s="532"/>
      <c r="S91" s="546">
        <v>3.5</v>
      </c>
      <c r="T91" s="19">
        <f t="shared" si="40"/>
        <v>3.5000000000000003E-2</v>
      </c>
      <c r="U91" s="39">
        <f t="shared" si="60"/>
        <v>121.94875000000002</v>
      </c>
      <c r="V91" s="19">
        <v>121.94875</v>
      </c>
      <c r="W91" s="39" t="str">
        <f t="shared" si="58"/>
        <v>BOA GAROTO</v>
      </c>
      <c r="X91" s="439"/>
      <c r="Y91" s="33"/>
      <c r="Z91" s="33"/>
    </row>
    <row r="92" spans="1:26" s="19" customFormat="1" ht="15.75">
      <c r="A92" s="380"/>
      <c r="B92" s="380" t="s">
        <v>389</v>
      </c>
      <c r="C92" s="437" t="s">
        <v>724</v>
      </c>
      <c r="D92" s="382"/>
      <c r="E92" s="383"/>
      <c r="F92" s="383"/>
      <c r="G92" s="383"/>
      <c r="H92" s="383"/>
      <c r="I92" s="383"/>
      <c r="J92" s="383"/>
      <c r="K92" s="383"/>
      <c r="L92" s="384"/>
      <c r="M92" s="384"/>
      <c r="N92" s="578"/>
      <c r="O92" s="534">
        <f>SUM(M83:M91)</f>
        <v>3484.250000000005</v>
      </c>
      <c r="P92" s="532">
        <f>O92/$M$113</f>
        <v>0.17770327424243651</v>
      </c>
      <c r="Q92" s="535">
        <f>P92*$N$68*100</f>
        <v>9.7639064032506787E-2</v>
      </c>
      <c r="R92" s="532"/>
      <c r="S92" s="19">
        <v>0.06</v>
      </c>
      <c r="T92" s="19">
        <f>S92/100</f>
        <v>5.9999999999999995E-4</v>
      </c>
      <c r="U92" s="410">
        <f>T92*$M$148</f>
        <v>2141.1</v>
      </c>
      <c r="V92" s="420">
        <f>SUM(M93:M95)</f>
        <v>2141.1000000000008</v>
      </c>
      <c r="W92" s="39" t="str">
        <f>IF(V92=U92,"BOA GAROTO","FAZ BATER")</f>
        <v>BOA GAROTO</v>
      </c>
      <c r="X92" s="33"/>
      <c r="Y92" s="33"/>
      <c r="Z92" s="33"/>
    </row>
    <row r="93" spans="1:26" s="19" customFormat="1" ht="15.75">
      <c r="A93" s="24"/>
      <c r="B93" s="24" t="s">
        <v>763</v>
      </c>
      <c r="C93" s="403" t="s">
        <v>994</v>
      </c>
      <c r="D93" s="26" t="s">
        <v>212</v>
      </c>
      <c r="E93" s="100">
        <v>85.135000000000005</v>
      </c>
      <c r="F93" s="370">
        <f>G93*1.5</f>
        <v>2.0485903970164374</v>
      </c>
      <c r="G93" s="370">
        <v>1.3657269313442917</v>
      </c>
      <c r="H93" s="370">
        <f t="shared" ref="H93:H95" si="71">F93+G93</f>
        <v>3.4143173283607293</v>
      </c>
      <c r="I93" s="370">
        <f>H93*(1+'BDI - HABITAÇÃO'!$C$22)</f>
        <v>4.3293543723614052</v>
      </c>
      <c r="J93" s="370">
        <f>E93*F93</f>
        <v>174.40674344999442</v>
      </c>
      <c r="K93" s="370">
        <f>E93*G93</f>
        <v>116.27116229999628</v>
      </c>
      <c r="L93" s="371">
        <f>H93*E93</f>
        <v>290.67790574999071</v>
      </c>
      <c r="M93" s="371">
        <f>I93*E93</f>
        <v>368.57958449098822</v>
      </c>
      <c r="N93" s="578"/>
      <c r="O93" s="532"/>
      <c r="P93" s="532"/>
      <c r="Q93" s="532"/>
      <c r="R93" s="532"/>
      <c r="S93" s="19">
        <v>17.21449649670674</v>
      </c>
      <c r="T93" s="19">
        <f t="shared" si="40"/>
        <v>0.17214496496706741</v>
      </c>
      <c r="U93" s="39">
        <f>T93*$U$92</f>
        <v>368.579584490988</v>
      </c>
      <c r="V93" s="19">
        <v>368.579584490988</v>
      </c>
      <c r="W93" s="39" t="str">
        <f>IF(V93=M93,"BOA GAROTO","FAZ BATER")</f>
        <v>BOA GAROTO</v>
      </c>
      <c r="X93" s="33"/>
      <c r="Y93" s="33"/>
      <c r="Z93" s="33"/>
    </row>
    <row r="94" spans="1:26" s="19" customFormat="1" ht="25.5">
      <c r="A94" s="24"/>
      <c r="B94" s="24" t="s">
        <v>764</v>
      </c>
      <c r="C94" s="403" t="s">
        <v>995</v>
      </c>
      <c r="D94" s="26" t="s">
        <v>212</v>
      </c>
      <c r="E94" s="100">
        <v>85.135000000000005</v>
      </c>
      <c r="F94" s="370">
        <f t="shared" ref="F94:F95" si="72">G94*1.5</f>
        <v>5.4795438231938052</v>
      </c>
      <c r="G94" s="370">
        <v>3.6530292154625368</v>
      </c>
      <c r="H94" s="370">
        <f t="shared" si="71"/>
        <v>9.1325730386563428</v>
      </c>
      <c r="I94" s="370">
        <f>H94*(1+'BDI - HABITAÇÃO'!$C$22)</f>
        <v>11.580102613016242</v>
      </c>
      <c r="J94" s="370">
        <f>E94*F94</f>
        <v>466.50096338760466</v>
      </c>
      <c r="K94" s="370">
        <f>E94*G94</f>
        <v>311.0006422584031</v>
      </c>
      <c r="L94" s="371">
        <f>H94*E94</f>
        <v>777.50160564600776</v>
      </c>
      <c r="M94" s="371">
        <f>I94*E94</f>
        <v>985.87203595913786</v>
      </c>
      <c r="N94" s="578"/>
      <c r="O94" s="532"/>
      <c r="P94" s="532"/>
      <c r="Q94" s="532"/>
      <c r="R94" s="532"/>
      <c r="S94" s="19">
        <v>46.045118675406933</v>
      </c>
      <c r="T94" s="19">
        <f t="shared" si="40"/>
        <v>0.46045118675406932</v>
      </c>
      <c r="U94" s="39">
        <f t="shared" ref="U94:U95" si="73">T94*$U$92</f>
        <v>985.87203595913775</v>
      </c>
      <c r="V94" s="19">
        <v>985.87203595913797</v>
      </c>
      <c r="W94" s="39" t="str">
        <f>IF(V94=M94,"BOA GAROTO","FAZ BATER")</f>
        <v>BOA GAROTO</v>
      </c>
      <c r="X94" s="33"/>
      <c r="Y94" s="33"/>
      <c r="Z94" s="33"/>
    </row>
    <row r="95" spans="1:26" s="19" customFormat="1" ht="15.75">
      <c r="A95" s="24"/>
      <c r="B95" s="24" t="s">
        <v>765</v>
      </c>
      <c r="C95" s="403" t="s">
        <v>996</v>
      </c>
      <c r="D95" s="26" t="s">
        <v>212</v>
      </c>
      <c r="E95" s="100">
        <v>13.69</v>
      </c>
      <c r="F95" s="370">
        <f t="shared" si="72"/>
        <v>27.189999592712269</v>
      </c>
      <c r="G95" s="370">
        <v>18.126666395141513</v>
      </c>
      <c r="H95" s="370">
        <f t="shared" si="71"/>
        <v>45.316665987853781</v>
      </c>
      <c r="I95" s="370">
        <f>H95*(1+'BDI - HABITAÇÃO'!$C$22)</f>
        <v>57.461532472598599</v>
      </c>
      <c r="J95" s="370">
        <f>E95*F95</f>
        <v>372.23109442423095</v>
      </c>
      <c r="K95" s="370">
        <f>E95*G95</f>
        <v>248.1540629494873</v>
      </c>
      <c r="L95" s="371">
        <f>H95*E95</f>
        <v>620.38515737371824</v>
      </c>
      <c r="M95" s="371">
        <f>I95*E95</f>
        <v>786.64837954987479</v>
      </c>
      <c r="N95" s="578"/>
      <c r="O95" s="532"/>
      <c r="P95" s="532"/>
      <c r="Q95" s="532"/>
      <c r="R95" s="532"/>
      <c r="S95" s="19">
        <v>36.740384827886324</v>
      </c>
      <c r="T95" s="19">
        <f t="shared" si="40"/>
        <v>0.36740384827886324</v>
      </c>
      <c r="U95" s="39">
        <f t="shared" si="73"/>
        <v>786.64837954987411</v>
      </c>
      <c r="V95" s="19">
        <v>786.64837954987399</v>
      </c>
      <c r="W95" s="39" t="str">
        <f>IF(V95=M95,"BOA GAROTO","FAZ BATER")</f>
        <v>FAZ BATER</v>
      </c>
      <c r="X95" s="33"/>
      <c r="Y95" s="33"/>
      <c r="Z95" s="33"/>
    </row>
    <row r="96" spans="1:26" s="19" customFormat="1" ht="15.75">
      <c r="A96" s="380"/>
      <c r="B96" s="380" t="s">
        <v>391</v>
      </c>
      <c r="C96" s="437" t="s">
        <v>728</v>
      </c>
      <c r="D96" s="382"/>
      <c r="E96" s="383"/>
      <c r="F96" s="383"/>
      <c r="G96" s="383"/>
      <c r="H96" s="383"/>
      <c r="I96" s="383"/>
      <c r="J96" s="383"/>
      <c r="K96" s="383"/>
      <c r="L96" s="384"/>
      <c r="M96" s="384"/>
      <c r="N96" s="578"/>
      <c r="O96" s="534">
        <f>SUM(M93:M95)</f>
        <v>2141.1000000000008</v>
      </c>
      <c r="P96" s="532">
        <f>O96/$M$113</f>
        <v>0.10920010920010918</v>
      </c>
      <c r="Q96" s="535">
        <f>P96*$N$68*100</f>
        <v>6.0000000000000019E-2</v>
      </c>
      <c r="R96" s="532"/>
      <c r="S96" s="19">
        <v>1.1806893652795294E-2</v>
      </c>
      <c r="T96" s="19">
        <f>S96/100</f>
        <v>1.1806893652795293E-4</v>
      </c>
      <c r="U96" s="410">
        <f>T96*$M$148</f>
        <v>421.32900000000006</v>
      </c>
      <c r="V96" s="420">
        <f>SUM(M97:M98)</f>
        <v>421.32900000000006</v>
      </c>
      <c r="W96" s="39" t="str">
        <f>IF(V96=U96,"BOA GAROTO","FAZ BATER")</f>
        <v>BOA GAROTO</v>
      </c>
      <c r="X96" s="33">
        <v>421.32900000000001</v>
      </c>
      <c r="Y96" s="33"/>
      <c r="Z96" s="33"/>
    </row>
    <row r="97" spans="1:26" s="19" customFormat="1" ht="15.75">
      <c r="A97" s="24"/>
      <c r="B97" s="24" t="s">
        <v>766</v>
      </c>
      <c r="C97" s="403" t="s">
        <v>978</v>
      </c>
      <c r="D97" s="26" t="s">
        <v>693</v>
      </c>
      <c r="E97" s="100">
        <v>2</v>
      </c>
      <c r="F97" s="370">
        <f>G97*1.5</f>
        <v>49.072607137969626</v>
      </c>
      <c r="G97" s="370">
        <v>32.715071425313084</v>
      </c>
      <c r="H97" s="370">
        <f t="shared" ref="H97:H98" si="74">F97+G97</f>
        <v>81.787678563282711</v>
      </c>
      <c r="I97" s="370">
        <f>H97*(1+'BDI - HABITAÇÃO'!$C$22)</f>
        <v>103.70677641824248</v>
      </c>
      <c r="J97" s="370">
        <f>E97*F97</f>
        <v>98.145214275939253</v>
      </c>
      <c r="K97" s="370">
        <f>E97*G97</f>
        <v>65.430142850626169</v>
      </c>
      <c r="L97" s="371">
        <f>H97*E97</f>
        <v>163.57535712656542</v>
      </c>
      <c r="M97" s="371">
        <f>I97*E97</f>
        <v>207.41355283648497</v>
      </c>
      <c r="N97" s="578"/>
      <c r="O97" s="532"/>
      <c r="P97" s="532"/>
      <c r="Q97" s="532"/>
      <c r="R97" s="532"/>
      <c r="S97" s="19">
        <v>47.320552247595366</v>
      </c>
      <c r="T97" s="19">
        <f t="shared" si="40"/>
        <v>0.47320552247595365</v>
      </c>
      <c r="U97" s="39">
        <f>T97*$U$96</f>
        <v>199.37520957927111</v>
      </c>
      <c r="V97" s="19">
        <v>57.413552836485003</v>
      </c>
      <c r="W97" s="33">
        <v>207.413552836485</v>
      </c>
      <c r="X97" s="33">
        <v>150</v>
      </c>
      <c r="Y97" s="33"/>
      <c r="Z97" s="33"/>
    </row>
    <row r="98" spans="1:26" s="19" customFormat="1" ht="15.75">
      <c r="A98" s="24"/>
      <c r="B98" s="24" t="s">
        <v>767</v>
      </c>
      <c r="C98" s="403" t="s">
        <v>997</v>
      </c>
      <c r="D98" s="26" t="s">
        <v>693</v>
      </c>
      <c r="E98" s="100">
        <v>2</v>
      </c>
      <c r="F98" s="370">
        <f>G98*1.5</f>
        <v>50.610910212188116</v>
      </c>
      <c r="G98" s="370">
        <v>33.740606808125413</v>
      </c>
      <c r="H98" s="370">
        <f t="shared" si="74"/>
        <v>84.351517020313537</v>
      </c>
      <c r="I98" s="370">
        <f>H98*(1+'BDI - HABITAÇÃO'!$C$22)</f>
        <v>106.95772358175756</v>
      </c>
      <c r="J98" s="370">
        <f>E98*F98</f>
        <v>101.22182042437623</v>
      </c>
      <c r="K98" s="370">
        <f>E98*G98</f>
        <v>67.481213616250827</v>
      </c>
      <c r="L98" s="371">
        <f>H98*E98</f>
        <v>168.70303404062707</v>
      </c>
      <c r="M98" s="371">
        <f>I98*E98</f>
        <v>213.91544716351513</v>
      </c>
      <c r="N98" s="578"/>
      <c r="O98" s="532"/>
      <c r="P98" s="532"/>
      <c r="Q98" s="532"/>
      <c r="R98" s="532"/>
      <c r="S98" s="19">
        <v>52.679447752404627</v>
      </c>
      <c r="T98" s="19">
        <f t="shared" si="40"/>
        <v>0.52679447752404629</v>
      </c>
      <c r="U98" s="39">
        <f>T98*$U$96</f>
        <v>221.95379042072892</v>
      </c>
      <c r="V98" s="19">
        <v>63.915447163514997</v>
      </c>
      <c r="W98" s="33">
        <v>213.91544716351501</v>
      </c>
      <c r="X98" s="33">
        <v>150</v>
      </c>
      <c r="Y98" s="33"/>
      <c r="Z98" s="33"/>
    </row>
    <row r="99" spans="1:26" s="19" customFormat="1" ht="15.75">
      <c r="A99" s="380"/>
      <c r="B99" s="380" t="s">
        <v>392</v>
      </c>
      <c r="C99" s="437" t="s">
        <v>734</v>
      </c>
      <c r="D99" s="382"/>
      <c r="E99" s="383"/>
      <c r="F99" s="383"/>
      <c r="G99" s="383"/>
      <c r="H99" s="383"/>
      <c r="I99" s="383"/>
      <c r="J99" s="383"/>
      <c r="K99" s="383"/>
      <c r="L99" s="384"/>
      <c r="M99" s="384"/>
      <c r="N99" s="578"/>
      <c r="O99" s="534">
        <f>SUM(M96:M98)</f>
        <v>421.32900000000006</v>
      </c>
      <c r="P99" s="532">
        <f>O99/$M$113</f>
        <v>2.1488567936655358E-2</v>
      </c>
      <c r="Q99" s="535">
        <f>P99*$N$68*100</f>
        <v>1.1806893652795292E-2</v>
      </c>
      <c r="R99" s="532"/>
      <c r="S99" s="440">
        <v>0.03</v>
      </c>
      <c r="T99" s="19">
        <f>S99/100</f>
        <v>2.9999999999999997E-4</v>
      </c>
      <c r="U99" s="410">
        <f>T99*$M$148</f>
        <v>1070.55</v>
      </c>
      <c r="V99" s="420">
        <f>SUM(M100:M103)</f>
        <v>1070.5500000000009</v>
      </c>
      <c r="W99" s="39" t="str">
        <f>IF(V99=U99,"BOA GAROTO","FAZ BATER")</f>
        <v>BOA GAROTO</v>
      </c>
      <c r="X99" s="33"/>
      <c r="Y99" s="33"/>
      <c r="Z99" s="33"/>
    </row>
    <row r="100" spans="1:26" s="19" customFormat="1" ht="25.5">
      <c r="A100" s="24"/>
      <c r="B100" s="24" t="s">
        <v>768</v>
      </c>
      <c r="C100" s="403" t="s">
        <v>998</v>
      </c>
      <c r="D100" s="26" t="s">
        <v>212</v>
      </c>
      <c r="E100" s="100">
        <v>15</v>
      </c>
      <c r="F100" s="370">
        <f>G100*1.5</f>
        <v>15.363593866406378</v>
      </c>
      <c r="G100" s="370">
        <v>10.242395910937585</v>
      </c>
      <c r="H100" s="370">
        <f t="shared" ref="H100:H103" si="75">F100+G100</f>
        <v>25.605989777343964</v>
      </c>
      <c r="I100" s="370">
        <f>H100*(1+'BDI - HABITAÇÃO'!$C$22)</f>
        <v>32.468395037672146</v>
      </c>
      <c r="J100" s="370">
        <f>E100*F100</f>
        <v>230.45390799609567</v>
      </c>
      <c r="K100" s="370">
        <f>E100*G100</f>
        <v>153.63593866406379</v>
      </c>
      <c r="L100" s="371">
        <f>H100*E100</f>
        <v>384.08984666015948</v>
      </c>
      <c r="M100" s="371">
        <f>I100*E100</f>
        <v>487.02592556508216</v>
      </c>
      <c r="N100" s="578"/>
      <c r="O100" s="532"/>
      <c r="P100" s="532"/>
      <c r="Q100" s="532"/>
      <c r="R100" s="532"/>
      <c r="S100" s="19">
        <v>45.493057359775982</v>
      </c>
      <c r="T100" s="19">
        <f t="shared" si="40"/>
        <v>0.45493057359775979</v>
      </c>
      <c r="U100" s="39">
        <f>T100*$U$99</f>
        <v>487.02592556508171</v>
      </c>
      <c r="V100" s="19">
        <v>487.02592556508199</v>
      </c>
      <c r="W100" s="39" t="str">
        <f>IF(V100=M100,"BOA GAROTO","FAZ BATER")</f>
        <v>BOA GAROTO</v>
      </c>
      <c r="X100" s="33"/>
      <c r="Y100" s="33"/>
      <c r="Z100" s="33"/>
    </row>
    <row r="101" spans="1:26" s="19" customFormat="1" ht="25.5">
      <c r="A101" s="24"/>
      <c r="B101" s="24" t="s">
        <v>769</v>
      </c>
      <c r="C101" s="403" t="s">
        <v>999</v>
      </c>
      <c r="D101" s="26" t="s">
        <v>212</v>
      </c>
      <c r="E101" s="100">
        <v>10.2676</v>
      </c>
      <c r="F101" s="370">
        <f t="shared" ref="F101:F103" si="76">G101*1.5</f>
        <v>13.807892722606216</v>
      </c>
      <c r="G101" s="370">
        <v>9.205261815070811</v>
      </c>
      <c r="H101" s="370">
        <f t="shared" si="75"/>
        <v>23.013154537677025</v>
      </c>
      <c r="I101" s="370">
        <f>H101*(1+'BDI - HABITAÇÃO'!$C$22)</f>
        <v>29.180679953774469</v>
      </c>
      <c r="J101" s="370">
        <f>E101*F101</f>
        <v>141.77391931863158</v>
      </c>
      <c r="K101" s="370">
        <f>E101*G101</f>
        <v>94.515946212421056</v>
      </c>
      <c r="L101" s="371">
        <f>H101*E101</f>
        <v>236.28986553105261</v>
      </c>
      <c r="M101" s="371">
        <f>I101*E101</f>
        <v>299.61554949337471</v>
      </c>
      <c r="N101" s="578"/>
      <c r="O101" s="532"/>
      <c r="P101" s="532"/>
      <c r="Q101" s="532"/>
      <c r="R101" s="532"/>
      <c r="S101" s="19">
        <v>27.987067347940304</v>
      </c>
      <c r="T101" s="19">
        <f t="shared" si="40"/>
        <v>0.27987067347940303</v>
      </c>
      <c r="U101" s="39">
        <f t="shared" ref="U101:U103" si="77">T101*$U$99</f>
        <v>299.61554949337489</v>
      </c>
      <c r="V101" s="19">
        <v>299.615549493375</v>
      </c>
      <c r="W101" s="39" t="str">
        <f>IF(V101=M101,"BOA GAROTO","FAZ BATER")</f>
        <v>BOA GAROTO</v>
      </c>
      <c r="X101" s="33"/>
      <c r="Y101" s="33"/>
      <c r="Z101" s="33"/>
    </row>
    <row r="102" spans="1:26" s="19" customFormat="1" ht="15.75">
      <c r="A102" s="24"/>
      <c r="B102" s="24" t="s">
        <v>770</v>
      </c>
      <c r="C102" s="403" t="s">
        <v>982</v>
      </c>
      <c r="D102" s="26" t="s">
        <v>218</v>
      </c>
      <c r="E102" s="100">
        <v>4.1739999999999995</v>
      </c>
      <c r="F102" s="370">
        <f t="shared" si="76"/>
        <v>17.224718414024842</v>
      </c>
      <c r="G102" s="370">
        <v>11.483145609349895</v>
      </c>
      <c r="H102" s="370">
        <f t="shared" ref="H102" si="78">F102+G102</f>
        <v>28.707864023374739</v>
      </c>
      <c r="I102" s="370">
        <f>H102*(1+'BDI - HABITAÇÃO'!$C$22)</f>
        <v>36.401571581639168</v>
      </c>
      <c r="J102" s="370">
        <f>E102*F102</f>
        <v>71.895974660139686</v>
      </c>
      <c r="K102" s="370">
        <f>E102*G102</f>
        <v>47.93064977342646</v>
      </c>
      <c r="L102" s="371">
        <f>H102*E102</f>
        <v>119.82662443356615</v>
      </c>
      <c r="M102" s="371">
        <f>I102*E102</f>
        <v>151.94015978176188</v>
      </c>
      <c r="N102" s="578"/>
      <c r="O102" s="532"/>
      <c r="P102" s="532"/>
      <c r="Q102" s="532"/>
      <c r="R102" s="532"/>
      <c r="S102" s="19">
        <v>14.192719609711038</v>
      </c>
      <c r="T102" s="19">
        <f t="shared" si="40"/>
        <v>0.14192719609711038</v>
      </c>
      <c r="U102" s="39">
        <f t="shared" si="77"/>
        <v>151.94015978176151</v>
      </c>
      <c r="V102" s="19">
        <v>151.94015978176199</v>
      </c>
      <c r="W102" s="39" t="str">
        <f>IF(V102=M102,"BOA GAROTO","FAZ BATER")</f>
        <v>BOA GAROTO</v>
      </c>
      <c r="X102" s="33"/>
      <c r="Y102" s="33"/>
      <c r="Z102" s="33"/>
    </row>
    <row r="103" spans="1:26" s="19" customFormat="1" ht="15.75">
      <c r="A103" s="24"/>
      <c r="B103" s="24" t="s">
        <v>771</v>
      </c>
      <c r="C103" s="403" t="s">
        <v>983</v>
      </c>
      <c r="D103" s="26" t="s">
        <v>212</v>
      </c>
      <c r="E103" s="100">
        <v>3.4223999999999997</v>
      </c>
      <c r="F103" s="370">
        <f t="shared" si="76"/>
        <v>18.246142664810755</v>
      </c>
      <c r="G103" s="370">
        <v>12.164095109873836</v>
      </c>
      <c r="H103" s="370">
        <f t="shared" si="75"/>
        <v>30.410237774684589</v>
      </c>
      <c r="I103" s="370">
        <f>H103*(1+'BDI - HABITAÇÃO'!$C$22)</f>
        <v>38.560181498300061</v>
      </c>
      <c r="J103" s="370">
        <f>E103*F103</f>
        <v>62.445598656048318</v>
      </c>
      <c r="K103" s="370">
        <f>E103*G103</f>
        <v>41.630399104032215</v>
      </c>
      <c r="L103" s="371">
        <f>H103*E103</f>
        <v>104.07599776008053</v>
      </c>
      <c r="M103" s="371">
        <f>I103*E103</f>
        <v>131.96836515978211</v>
      </c>
      <c r="N103" s="578"/>
      <c r="O103" s="532"/>
      <c r="P103" s="532"/>
      <c r="Q103" s="532"/>
      <c r="R103" s="532"/>
      <c r="S103" s="19">
        <v>12.327155682572673</v>
      </c>
      <c r="T103" s="19">
        <f t="shared" si="40"/>
        <v>0.12327155682572673</v>
      </c>
      <c r="U103" s="39">
        <f t="shared" si="77"/>
        <v>131.96836515978174</v>
      </c>
      <c r="V103" s="19">
        <v>131.968365159782</v>
      </c>
      <c r="W103" s="39" t="str">
        <f>IF(V103=M103,"BOA GAROTO","FAZ BATER")</f>
        <v>BOA GAROTO</v>
      </c>
      <c r="X103" s="33"/>
      <c r="Y103" s="33"/>
      <c r="Z103" s="33"/>
    </row>
    <row r="104" spans="1:26" s="19" customFormat="1" ht="15.75">
      <c r="A104" s="380"/>
      <c r="B104" s="380" t="s">
        <v>394</v>
      </c>
      <c r="C104" s="437" t="s">
        <v>388</v>
      </c>
      <c r="D104" s="382"/>
      <c r="E104" s="383"/>
      <c r="F104" s="383"/>
      <c r="G104" s="383"/>
      <c r="H104" s="383"/>
      <c r="I104" s="383"/>
      <c r="J104" s="383"/>
      <c r="K104" s="383"/>
      <c r="L104" s="384"/>
      <c r="M104" s="384"/>
      <c r="N104" s="578"/>
      <c r="O104" s="534">
        <f>SUM(M100:M103)</f>
        <v>1070.5500000000009</v>
      </c>
      <c r="P104" s="532">
        <f>O104/$M$113</f>
        <v>5.4600054600054612E-2</v>
      </c>
      <c r="Q104" s="535">
        <f>P104*$N$68*100</f>
        <v>3.0000000000000023E-2</v>
      </c>
      <c r="R104" s="532"/>
      <c r="S104" s="440">
        <v>7.4999999999999997E-2</v>
      </c>
      <c r="T104" s="19">
        <f>S104/100</f>
        <v>7.5000000000000002E-4</v>
      </c>
      <c r="U104" s="410">
        <f>T104*$M$148</f>
        <v>2676.375</v>
      </c>
      <c r="V104" s="420">
        <f>SUM(M105:M106)</f>
        <v>2676.3750000000027</v>
      </c>
      <c r="W104" s="39" t="str">
        <f>IF(V104=U104,"BOA GAROTO","FAZ BATER")</f>
        <v>BOA GAROTO</v>
      </c>
      <c r="X104" s="33"/>
      <c r="Y104" s="33"/>
      <c r="Z104" s="33"/>
    </row>
    <row r="105" spans="1:26" s="19" customFormat="1" ht="15.75">
      <c r="A105" s="24"/>
      <c r="B105" s="24" t="s">
        <v>772</v>
      </c>
      <c r="C105" s="403" t="s">
        <v>773</v>
      </c>
      <c r="D105" s="26" t="s">
        <v>693</v>
      </c>
      <c r="E105" s="100">
        <v>2</v>
      </c>
      <c r="F105" s="370">
        <f>G105*1.5</f>
        <v>316.60587539432203</v>
      </c>
      <c r="G105" s="370">
        <v>211.07058359621468</v>
      </c>
      <c r="H105" s="370">
        <f t="shared" ref="H105:H106" si="79">F105+G105</f>
        <v>527.67645899053673</v>
      </c>
      <c r="I105" s="370">
        <f>H105*(1+'BDI - HABITAÇÃO'!$C$22)</f>
        <v>669.09375000000057</v>
      </c>
      <c r="J105" s="370">
        <f>E105*F105</f>
        <v>633.21175078864405</v>
      </c>
      <c r="K105" s="370">
        <f>E105*G105</f>
        <v>422.14116719242935</v>
      </c>
      <c r="L105" s="371">
        <f>H105*E105</f>
        <v>1055.3529179810735</v>
      </c>
      <c r="M105" s="371">
        <f>I105*E105</f>
        <v>1338.1875000000011</v>
      </c>
      <c r="N105" s="578"/>
      <c r="O105" s="532"/>
      <c r="P105" s="532"/>
      <c r="Q105" s="532"/>
      <c r="R105" s="532"/>
      <c r="S105" s="19">
        <v>50</v>
      </c>
      <c r="T105" s="19">
        <f t="shared" si="40"/>
        <v>0.5</v>
      </c>
      <c r="U105" s="39">
        <v>1338.1875</v>
      </c>
      <c r="V105" s="19">
        <v>1338.1875</v>
      </c>
      <c r="W105" s="33"/>
      <c r="X105" s="33"/>
      <c r="Y105" s="33"/>
      <c r="Z105" s="33"/>
    </row>
    <row r="106" spans="1:26" s="19" customFormat="1" ht="15.75">
      <c r="A106" s="24"/>
      <c r="B106" s="24" t="s">
        <v>774</v>
      </c>
      <c r="C106" s="403" t="s">
        <v>738</v>
      </c>
      <c r="D106" s="26" t="s">
        <v>693</v>
      </c>
      <c r="E106" s="100">
        <v>2</v>
      </c>
      <c r="F106" s="370">
        <f>G106*1.6</f>
        <v>324.72397476340728</v>
      </c>
      <c r="G106" s="370">
        <v>202.95248422712953</v>
      </c>
      <c r="H106" s="370">
        <f t="shared" si="79"/>
        <v>527.67645899053684</v>
      </c>
      <c r="I106" s="370">
        <f>H106*(1+'BDI - HABITAÇÃO'!$C$22)</f>
        <v>669.09375000000068</v>
      </c>
      <c r="J106" s="370">
        <f>E106*F106</f>
        <v>649.44794952681457</v>
      </c>
      <c r="K106" s="370">
        <f>E106*G106</f>
        <v>405.90496845425906</v>
      </c>
      <c r="L106" s="371">
        <f>H106*E106</f>
        <v>1055.3529179810737</v>
      </c>
      <c r="M106" s="371">
        <f>I106*E106</f>
        <v>1338.1875000000014</v>
      </c>
      <c r="N106" s="578"/>
      <c r="O106" s="532"/>
      <c r="P106" s="532"/>
      <c r="Q106" s="532"/>
      <c r="R106" s="532"/>
      <c r="S106" s="19">
        <v>50</v>
      </c>
      <c r="T106" s="19">
        <f t="shared" si="40"/>
        <v>0.5</v>
      </c>
      <c r="U106" s="39">
        <v>1338.1875</v>
      </c>
      <c r="V106" s="19">
        <v>1338.1875</v>
      </c>
      <c r="W106" s="33"/>
      <c r="X106" s="33"/>
      <c r="Y106" s="33"/>
      <c r="Z106" s="33"/>
    </row>
    <row r="107" spans="1:26" s="19" customFormat="1" ht="15.75">
      <c r="A107" s="380"/>
      <c r="B107" s="380" t="s">
        <v>395</v>
      </c>
      <c r="C107" s="437" t="s">
        <v>749</v>
      </c>
      <c r="D107" s="382"/>
      <c r="E107" s="383"/>
      <c r="F107" s="383"/>
      <c r="G107" s="383"/>
      <c r="H107" s="383"/>
      <c r="I107" s="383"/>
      <c r="J107" s="383"/>
      <c r="K107" s="383"/>
      <c r="L107" s="384"/>
      <c r="M107" s="384"/>
      <c r="N107" s="578"/>
      <c r="O107" s="534">
        <f>SUM(M105:M106)</f>
        <v>2676.3750000000027</v>
      </c>
      <c r="P107" s="532">
        <f>O107/$M$113</f>
        <v>0.13650013650013657</v>
      </c>
      <c r="Q107" s="535">
        <f>P107*$N$68*100</f>
        <v>7.500000000000008E-2</v>
      </c>
      <c r="R107" s="532"/>
      <c r="S107" s="440">
        <v>3.5000000000000003E-2</v>
      </c>
      <c r="T107" s="19">
        <f>S107/100</f>
        <v>3.5000000000000005E-4</v>
      </c>
      <c r="U107" s="410">
        <f>T107*$M$148</f>
        <v>1248.9750000000001</v>
      </c>
      <c r="V107" s="420">
        <f>SUM(M108:M112)</f>
        <v>1248.9750000000006</v>
      </c>
      <c r="W107" s="39" t="str">
        <f>IF(V107=U107,"BOA GAROTO","FAZ BATER")</f>
        <v>BOA GAROTO</v>
      </c>
      <c r="X107" s="33"/>
      <c r="Y107" s="33"/>
      <c r="Z107" s="33"/>
    </row>
    <row r="108" spans="1:26" s="19" customFormat="1" ht="15.75">
      <c r="A108" s="24"/>
      <c r="B108" s="24" t="s">
        <v>775</v>
      </c>
      <c r="C108" s="403" t="s">
        <v>984</v>
      </c>
      <c r="D108" s="26" t="s">
        <v>212</v>
      </c>
      <c r="E108" s="100">
        <v>47.935000000000002</v>
      </c>
      <c r="F108" s="370">
        <f>G108*1.5</f>
        <v>3.2019254220409135</v>
      </c>
      <c r="G108" s="370">
        <v>2.1346169480272756</v>
      </c>
      <c r="H108" s="370">
        <f t="shared" ref="H108:H112" si="80">F108+G108</f>
        <v>5.3365423700681891</v>
      </c>
      <c r="I108" s="370">
        <f>H108*(1+'BDI - HABITAÇÃO'!$C$22)</f>
        <v>6.7667357252464635</v>
      </c>
      <c r="J108" s="370">
        <f>E108*F108</f>
        <v>153.4842951055312</v>
      </c>
      <c r="K108" s="370">
        <f>E108*G108</f>
        <v>102.32286340368746</v>
      </c>
      <c r="L108" s="371">
        <f>H108*E108</f>
        <v>255.80715850921865</v>
      </c>
      <c r="M108" s="371">
        <f>I108*E108</f>
        <v>324.36347698968922</v>
      </c>
      <c r="N108" s="578"/>
      <c r="O108" s="532"/>
      <c r="P108" s="532"/>
      <c r="Q108" s="532"/>
      <c r="R108" s="532"/>
      <c r="S108" s="19">
        <v>25.970373865745017</v>
      </c>
      <c r="T108" s="19">
        <f t="shared" si="40"/>
        <v>0.25970373865745017</v>
      </c>
      <c r="U108" s="39">
        <f>T108*$U$107</f>
        <v>324.36347698968888</v>
      </c>
      <c r="V108" s="19">
        <v>324.36347698968899</v>
      </c>
      <c r="W108" s="33"/>
      <c r="X108" s="33"/>
      <c r="Y108" s="33"/>
      <c r="Z108" s="33"/>
    </row>
    <row r="109" spans="1:26" s="19" customFormat="1" ht="15.75">
      <c r="A109" s="24"/>
      <c r="B109" s="24" t="s">
        <v>776</v>
      </c>
      <c r="C109" s="403" t="s">
        <v>1021</v>
      </c>
      <c r="D109" s="26" t="s">
        <v>212</v>
      </c>
      <c r="E109" s="100">
        <f>3.46^2</f>
        <v>11.9716</v>
      </c>
      <c r="F109" s="370">
        <f t="shared" ref="F109:F112" si="81">G109*1.5</f>
        <v>0.83609840799384061</v>
      </c>
      <c r="G109" s="370">
        <v>0.55739893866256041</v>
      </c>
      <c r="H109" s="370">
        <f t="shared" ref="H109:H110" si="82">F109+G109</f>
        <v>1.3934973466564009</v>
      </c>
      <c r="I109" s="370">
        <f>H109*(1+'BDI - HABITAÇÃO'!$C$22)</f>
        <v>1.7669546355603163</v>
      </c>
      <c r="J109" s="370">
        <f>E109*F109</f>
        <v>10.009435701139063</v>
      </c>
      <c r="K109" s="370">
        <f>E109*G109</f>
        <v>6.6729571340927087</v>
      </c>
      <c r="L109" s="371">
        <f>H109*E109</f>
        <v>16.68239283523177</v>
      </c>
      <c r="M109" s="371">
        <f>I109*E109</f>
        <v>21.153274115073884</v>
      </c>
      <c r="N109" s="578"/>
      <c r="O109" s="532"/>
      <c r="P109" s="532"/>
      <c r="Q109" s="532"/>
      <c r="R109" s="532"/>
      <c r="S109" s="19">
        <v>1.6936507227986044</v>
      </c>
      <c r="T109" s="19">
        <f t="shared" si="40"/>
        <v>1.6936507227986043E-2</v>
      </c>
      <c r="U109" s="39">
        <f t="shared" ref="U109:U112" si="83">T109*$U$107</f>
        <v>21.15327411507387</v>
      </c>
      <c r="V109" s="19">
        <v>21.153274115073899</v>
      </c>
      <c r="W109" s="33"/>
      <c r="X109" s="33"/>
      <c r="Y109" s="33"/>
      <c r="Z109" s="33"/>
    </row>
    <row r="110" spans="1:26" s="19" customFormat="1" ht="15.75">
      <c r="A110" s="24"/>
      <c r="B110" s="24" t="s">
        <v>777</v>
      </c>
      <c r="C110" s="403" t="s">
        <v>1000</v>
      </c>
      <c r="D110" s="26" t="s">
        <v>212</v>
      </c>
      <c r="E110" s="100">
        <v>47.935000000000002</v>
      </c>
      <c r="F110" s="370">
        <f t="shared" si="81"/>
        <v>4.9206204315244522</v>
      </c>
      <c r="G110" s="370">
        <v>3.2804136210163013</v>
      </c>
      <c r="H110" s="370">
        <f t="shared" si="82"/>
        <v>8.2010340525407539</v>
      </c>
      <c r="I110" s="370">
        <f>H110*(1+'BDI - HABITAÇÃO'!$C$22)</f>
        <v>10.398911178621676</v>
      </c>
      <c r="J110" s="370">
        <f>E110*F110</f>
        <v>235.86994038512464</v>
      </c>
      <c r="K110" s="370">
        <f>E110*G110</f>
        <v>157.24662692341641</v>
      </c>
      <c r="L110" s="371">
        <f>H110*E110</f>
        <v>393.11656730854105</v>
      </c>
      <c r="M110" s="371">
        <f>I110*E110</f>
        <v>498.47180734723003</v>
      </c>
      <c r="N110" s="578"/>
      <c r="O110" s="532"/>
      <c r="P110" s="532"/>
      <c r="Q110" s="532"/>
      <c r="R110" s="532"/>
      <c r="S110" s="19">
        <v>39.910471174141222</v>
      </c>
      <c r="T110" s="19">
        <f t="shared" si="40"/>
        <v>0.39910471174141221</v>
      </c>
      <c r="U110" s="39">
        <f t="shared" si="83"/>
        <v>498.47180734723037</v>
      </c>
      <c r="V110" s="19">
        <v>498.47180734723003</v>
      </c>
      <c r="W110" s="33"/>
      <c r="X110" s="33"/>
      <c r="Y110" s="33"/>
      <c r="Z110" s="33"/>
    </row>
    <row r="111" spans="1:26" s="19" customFormat="1" ht="15.75">
      <c r="A111" s="24"/>
      <c r="B111" s="24" t="s">
        <v>778</v>
      </c>
      <c r="C111" s="403" t="s">
        <v>1001</v>
      </c>
      <c r="D111" s="26" t="s">
        <v>212</v>
      </c>
      <c r="E111" s="100">
        <f>E105*2.1*0.8</f>
        <v>3.3600000000000003</v>
      </c>
      <c r="F111" s="370">
        <f t="shared" si="81"/>
        <v>24.066406456108083</v>
      </c>
      <c r="G111" s="370">
        <v>16.044270970738722</v>
      </c>
      <c r="H111" s="370">
        <f t="shared" si="80"/>
        <v>40.110677426846806</v>
      </c>
      <c r="I111" s="370">
        <f>H111*(1+'BDI - HABITAÇÃO'!$C$22)</f>
        <v>50.860338977241753</v>
      </c>
      <c r="J111" s="370">
        <f>E111*F111</f>
        <v>80.86312569252317</v>
      </c>
      <c r="K111" s="370">
        <f>E111*G111</f>
        <v>53.908750461682111</v>
      </c>
      <c r="L111" s="371">
        <f>H111*E111</f>
        <v>134.77187615420527</v>
      </c>
      <c r="M111" s="371">
        <f>I111*E111</f>
        <v>170.8907389635323</v>
      </c>
      <c r="N111" s="578"/>
      <c r="O111" s="532"/>
      <c r="P111" s="532"/>
      <c r="Q111" s="532"/>
      <c r="R111" s="532"/>
      <c r="S111" s="19">
        <v>13.682478749657248</v>
      </c>
      <c r="T111" s="19">
        <f t="shared" si="40"/>
        <v>0.13682478749657248</v>
      </c>
      <c r="U111" s="39">
        <f t="shared" si="83"/>
        <v>170.89073896353165</v>
      </c>
      <c r="V111" s="19">
        <v>170.89073896353199</v>
      </c>
      <c r="W111" s="33"/>
      <c r="X111" s="33"/>
      <c r="Y111" s="33"/>
      <c r="Z111" s="33"/>
    </row>
    <row r="112" spans="1:26" s="19" customFormat="1" ht="15.75">
      <c r="A112" s="24"/>
      <c r="B112" s="24" t="s">
        <v>779</v>
      </c>
      <c r="C112" s="403" t="s">
        <v>988</v>
      </c>
      <c r="D112" s="26" t="s">
        <v>212</v>
      </c>
      <c r="E112" s="100">
        <v>37.200000000000003</v>
      </c>
      <c r="F112" s="370">
        <f t="shared" si="81"/>
        <v>2.977710677018357</v>
      </c>
      <c r="G112" s="370">
        <v>1.9851404513455713</v>
      </c>
      <c r="H112" s="370">
        <f t="shared" si="80"/>
        <v>4.9628511283639281</v>
      </c>
      <c r="I112" s="370">
        <f>H112*(1+'BDI - HABITAÇÃO'!$C$22)</f>
        <v>6.2928952307654606</v>
      </c>
      <c r="J112" s="370">
        <f>E112*F112</f>
        <v>110.77083718508288</v>
      </c>
      <c r="K112" s="370">
        <f>E112*G112</f>
        <v>73.84722479005525</v>
      </c>
      <c r="L112" s="371">
        <f>H112*E112</f>
        <v>184.61806197513815</v>
      </c>
      <c r="M112" s="371">
        <f>I112*E112</f>
        <v>234.09570258447516</v>
      </c>
      <c r="N112" s="578"/>
      <c r="O112" s="532"/>
      <c r="P112" s="532"/>
      <c r="Q112" s="532"/>
      <c r="R112" s="532"/>
      <c r="S112" s="19">
        <v>18.743025487657899</v>
      </c>
      <c r="T112" s="19">
        <f t="shared" si="40"/>
        <v>0.18743025487657899</v>
      </c>
      <c r="U112" s="39">
        <f t="shared" si="83"/>
        <v>234.09570258447528</v>
      </c>
      <c r="V112" s="19">
        <v>234.09570258447499</v>
      </c>
      <c r="W112" s="33"/>
      <c r="X112" s="33"/>
      <c r="Y112" s="33"/>
      <c r="Z112" s="33"/>
    </row>
    <row r="113" spans="1:28" s="19" customFormat="1" ht="15.75">
      <c r="A113" s="264"/>
      <c r="B113" s="56"/>
      <c r="C113" s="429" t="s">
        <v>220</v>
      </c>
      <c r="D113" s="56"/>
      <c r="E113" s="265"/>
      <c r="F113" s="265"/>
      <c r="G113" s="265"/>
      <c r="H113" s="265"/>
      <c r="I113" s="265"/>
      <c r="J113" s="265"/>
      <c r="K113" s="265"/>
      <c r="L113" s="266"/>
      <c r="M113" s="372">
        <f>SUM(M69:M112)</f>
        <v>19607.123250000011</v>
      </c>
      <c r="N113" s="579"/>
      <c r="O113" s="534">
        <f>SUM(M108:M112)</f>
        <v>1248.9750000000006</v>
      </c>
      <c r="P113" s="532">
        <f>O113/$M$113</f>
        <v>6.3700063700063689E-2</v>
      </c>
      <c r="Q113" s="535">
        <f>P113*$N$68*100</f>
        <v>3.500000000000001E-2</v>
      </c>
      <c r="R113" s="532"/>
      <c r="U113" s="410"/>
      <c r="W113" s="33"/>
      <c r="X113" s="33"/>
      <c r="Y113" s="33"/>
      <c r="Z113" s="33"/>
    </row>
    <row r="114" spans="1:28" s="19" customFormat="1">
      <c r="A114" s="380" t="s">
        <v>780</v>
      </c>
      <c r="B114" s="380"/>
      <c r="C114" s="437" t="s">
        <v>479</v>
      </c>
      <c r="D114" s="382"/>
      <c r="E114" s="383"/>
      <c r="F114" s="383"/>
      <c r="G114" s="383"/>
      <c r="H114" s="383"/>
      <c r="I114" s="383"/>
      <c r="J114" s="383"/>
      <c r="K114" s="383"/>
      <c r="L114" s="384"/>
      <c r="M114" s="384"/>
      <c r="N114" s="395"/>
      <c r="O114" s="531"/>
      <c r="P114" s="531"/>
      <c r="Q114" s="531"/>
      <c r="R114" s="531"/>
      <c r="T114" s="410">
        <v>19607.123250000001</v>
      </c>
      <c r="U114" s="39" t="str">
        <f>IF(T114=M113,"BOA GAROTO","FAZ BATER")</f>
        <v>BOA GAROTO</v>
      </c>
      <c r="V114" s="439"/>
      <c r="W114" s="33"/>
      <c r="X114" s="33"/>
      <c r="Y114" s="33"/>
      <c r="Z114" s="33"/>
      <c r="AB114" s="19" t="s">
        <v>948</v>
      </c>
    </row>
    <row r="115" spans="1:28" s="19" customFormat="1" ht="25.5">
      <c r="A115" s="24"/>
      <c r="B115" s="24" t="s">
        <v>73</v>
      </c>
      <c r="C115" s="403" t="s">
        <v>1002</v>
      </c>
      <c r="D115" s="26" t="s">
        <v>214</v>
      </c>
      <c r="E115" s="100">
        <v>0.3</v>
      </c>
      <c r="F115" s="370">
        <f>G115*1.5</f>
        <v>1408.7898621046113</v>
      </c>
      <c r="G115" s="370">
        <v>939.19324140307424</v>
      </c>
      <c r="H115" s="370">
        <f t="shared" ref="H115:H119" si="84">F115+G115</f>
        <v>2347.9831035076854</v>
      </c>
      <c r="I115" s="370">
        <f>H115*(1+'BDI - INFRAESTRUTURA'!$C$23)</f>
        <v>2720.1384254136537</v>
      </c>
      <c r="J115" s="370">
        <f>E115*F115</f>
        <v>422.63695863138338</v>
      </c>
      <c r="K115" s="370">
        <f>E115*G115</f>
        <v>281.75797242092227</v>
      </c>
      <c r="L115" s="371">
        <f>H115*E115</f>
        <v>704.39493105230565</v>
      </c>
      <c r="M115" s="371">
        <f>I115*E115</f>
        <v>816.04152762409615</v>
      </c>
      <c r="N115" s="577">
        <f>M120/$M$148</f>
        <v>1.4751000000000005E-3</v>
      </c>
      <c r="O115" s="532"/>
      <c r="P115" s="532"/>
      <c r="Q115" s="532"/>
      <c r="R115" s="532"/>
      <c r="S115" s="19">
        <v>15.502619797528725</v>
      </c>
      <c r="T115" s="19">
        <f t="shared" ref="T115:T119" si="85">S115/100</f>
        <v>0.15502619797528724</v>
      </c>
      <c r="U115" s="39">
        <f>T115*$T$120</f>
        <v>816.04152762409592</v>
      </c>
      <c r="V115" s="19">
        <v>816.04152762409592</v>
      </c>
      <c r="W115" s="526">
        <f>V115/$M$120*100</f>
        <v>15.50261979752872</v>
      </c>
      <c r="X115" s="39" t="str">
        <f>IF(V115=M115,"BOA GAROTO","FAZ BATER")</f>
        <v>BOA GAROTO</v>
      </c>
      <c r="Y115" s="33"/>
      <c r="Z115" s="33"/>
      <c r="AB115" s="19">
        <v>31.68</v>
      </c>
    </row>
    <row r="116" spans="1:28" s="19" customFormat="1" ht="25.5">
      <c r="A116" s="24"/>
      <c r="B116" s="24" t="s">
        <v>74</v>
      </c>
      <c r="C116" s="403" t="s">
        <v>1003</v>
      </c>
      <c r="D116" s="26" t="s">
        <v>214</v>
      </c>
      <c r="E116" s="100">
        <v>0.45</v>
      </c>
      <c r="F116" s="370">
        <f>'COMPOSIÇÕES DE PREÇO UNITÁRIO'!G31</f>
        <v>1009.71454466983</v>
      </c>
      <c r="G116" s="370">
        <f>'COMPOSIÇÕES DE PREÇO UNITÁRIO'!H31</f>
        <v>673.14302977988666</v>
      </c>
      <c r="H116" s="370">
        <f t="shared" ref="H116:H117" si="86">F116+G116</f>
        <v>1682.8575744497166</v>
      </c>
      <c r="I116" s="370">
        <f>H116*(1+'BDI - INFRAESTRUTURA'!$C$23)</f>
        <v>1949.5904999999968</v>
      </c>
      <c r="J116" s="370">
        <f>E116*F116</f>
        <v>454.37154510142352</v>
      </c>
      <c r="K116" s="370">
        <f>E116*G116</f>
        <v>302.91436340094901</v>
      </c>
      <c r="L116" s="371">
        <f>H116*E116</f>
        <v>757.28590850237254</v>
      </c>
      <c r="M116" s="371">
        <f>I116*E116</f>
        <v>877.31572499999857</v>
      </c>
      <c r="N116" s="578"/>
      <c r="O116" s="532"/>
      <c r="P116" s="532"/>
      <c r="Q116" s="532"/>
      <c r="R116" s="532"/>
      <c r="S116" s="19">
        <v>16.666666666666636</v>
      </c>
      <c r="T116" s="19">
        <f t="shared" si="85"/>
        <v>0.16666666666666635</v>
      </c>
      <c r="U116" s="39">
        <f>T116*$T$120</f>
        <v>877.31572499999822</v>
      </c>
      <c r="V116" s="19">
        <v>877.31572499999822</v>
      </c>
      <c r="W116" s="526">
        <f t="shared" ref="W116:W119" si="87">V116/$M$120*100</f>
        <v>16.666666666666629</v>
      </c>
      <c r="X116" s="39" t="str">
        <f t="shared" ref="X116:X119" si="88">IF(V116=M116,"BOA GAROTO","FAZ BATER")</f>
        <v>FAZ BATER</v>
      </c>
      <c r="Y116" s="33"/>
      <c r="Z116" s="33"/>
    </row>
    <row r="117" spans="1:28" s="19" customFormat="1" ht="25.5">
      <c r="A117" s="24"/>
      <c r="B117" s="24" t="s">
        <v>75</v>
      </c>
      <c r="C117" s="403" t="s">
        <v>947</v>
      </c>
      <c r="D117" s="26" t="s">
        <v>212</v>
      </c>
      <c r="E117" s="100">
        <v>29.7</v>
      </c>
      <c r="F117" s="370">
        <f>G117*1.2</f>
        <v>31.604492269068675</v>
      </c>
      <c r="G117" s="370">
        <v>26.337076890890565</v>
      </c>
      <c r="H117" s="370">
        <f t="shared" si="86"/>
        <v>57.941569159959244</v>
      </c>
      <c r="I117" s="370">
        <f>H117*(1+'BDI - INFRAESTRUTURA'!$C$23)</f>
        <v>67.125307871812794</v>
      </c>
      <c r="J117" s="370">
        <f>E117*F117</f>
        <v>938.65342039133964</v>
      </c>
      <c r="K117" s="370">
        <f>E117*G117</f>
        <v>782.21118365944972</v>
      </c>
      <c r="L117" s="371">
        <f>H117*E117</f>
        <v>1720.8646040507895</v>
      </c>
      <c r="M117" s="371">
        <f>I117*E117</f>
        <v>1993.6216437928399</v>
      </c>
      <c r="N117" s="578"/>
      <c r="O117" s="532"/>
      <c r="P117" s="532"/>
      <c r="Q117" s="532"/>
      <c r="R117" s="532"/>
      <c r="S117" s="19">
        <v>37.873511724125677</v>
      </c>
      <c r="T117" s="19">
        <f t="shared" si="85"/>
        <v>0.37873511724125675</v>
      </c>
      <c r="U117" s="39">
        <f>T117*$T$120</f>
        <v>1993.6216437928388</v>
      </c>
      <c r="V117" s="19">
        <v>1993.6216437928388</v>
      </c>
      <c r="W117" s="526">
        <f t="shared" si="87"/>
        <v>37.873511724125656</v>
      </c>
      <c r="X117" s="39" t="str">
        <f t="shared" si="88"/>
        <v>BOA GAROTO</v>
      </c>
      <c r="Y117" s="33"/>
      <c r="Z117" s="33"/>
    </row>
    <row r="118" spans="1:28" s="19" customFormat="1" ht="25.5">
      <c r="A118" s="24"/>
      <c r="B118" s="24" t="s">
        <v>520</v>
      </c>
      <c r="C118" s="403" t="s">
        <v>1004</v>
      </c>
      <c r="D118" s="26" t="s">
        <v>212</v>
      </c>
      <c r="E118" s="100">
        <f>5.2*5.2</f>
        <v>27.040000000000003</v>
      </c>
      <c r="F118" s="370">
        <v>25.798423804549891</v>
      </c>
      <c r="G118" s="370">
        <v>12</v>
      </c>
      <c r="H118" s="370">
        <f t="shared" si="84"/>
        <v>37.798423804549891</v>
      </c>
      <c r="I118" s="370">
        <f>H118*(1+'BDI - INFRAESTRUTURA'!$C$23)</f>
        <v>43.789473977571049</v>
      </c>
      <c r="J118" s="370">
        <f>E118*F118</f>
        <v>697.58937967502914</v>
      </c>
      <c r="K118" s="370">
        <f>E118*G118</f>
        <v>324.48</v>
      </c>
      <c r="L118" s="371">
        <f>H118*E118</f>
        <v>1022.0693796750292</v>
      </c>
      <c r="M118" s="371">
        <f>I118*E118</f>
        <v>1184.0673763535212</v>
      </c>
      <c r="N118" s="578"/>
      <c r="O118" s="532"/>
      <c r="P118" s="532"/>
      <c r="Q118" s="532"/>
      <c r="R118" s="532"/>
      <c r="S118" s="19">
        <v>22.49413262546808</v>
      </c>
      <c r="T118" s="19">
        <f t="shared" si="85"/>
        <v>0.2249413262546808</v>
      </c>
      <c r="U118" s="39">
        <f>T118*$T$120</f>
        <v>1184.0673763535208</v>
      </c>
      <c r="V118" s="19">
        <v>1184.0673763535208</v>
      </c>
      <c r="W118" s="526">
        <f t="shared" si="87"/>
        <v>22.494132625468072</v>
      </c>
      <c r="X118" s="39" t="str">
        <f t="shared" si="88"/>
        <v>BOA GAROTO</v>
      </c>
      <c r="Y118" s="33"/>
      <c r="Z118" s="33"/>
    </row>
    <row r="119" spans="1:28" s="19" customFormat="1" ht="25.5">
      <c r="A119" s="24"/>
      <c r="B119" s="24" t="s">
        <v>521</v>
      </c>
      <c r="C119" s="403" t="s">
        <v>987</v>
      </c>
      <c r="D119" s="26" t="s">
        <v>212</v>
      </c>
      <c r="E119" s="100">
        <f>E117</f>
        <v>29.7</v>
      </c>
      <c r="F119" s="370">
        <f>G119</f>
        <v>5.7087647766623943</v>
      </c>
      <c r="G119" s="370">
        <v>5.7087647766623943</v>
      </c>
      <c r="H119" s="370">
        <f t="shared" si="84"/>
        <v>11.417529553324789</v>
      </c>
      <c r="I119" s="370">
        <f>H119*(1+'BDI - INFRAESTRUTURA'!$C$23)</f>
        <v>13.227207987526768</v>
      </c>
      <c r="J119" s="370">
        <f>E119*F119</f>
        <v>169.5503138668731</v>
      </c>
      <c r="K119" s="370">
        <f>E119*G119</f>
        <v>169.5503138668731</v>
      </c>
      <c r="L119" s="371">
        <f>H119*E119</f>
        <v>339.10062773374619</v>
      </c>
      <c r="M119" s="371">
        <f>I119*E119</f>
        <v>392.84807722954497</v>
      </c>
      <c r="N119" s="578"/>
      <c r="O119" s="532"/>
      <c r="P119" s="532"/>
      <c r="Q119" s="532"/>
      <c r="R119" s="532"/>
      <c r="S119" s="19">
        <v>7.4630691862108671</v>
      </c>
      <c r="T119" s="19">
        <f t="shared" si="85"/>
        <v>7.4630691862108675E-2</v>
      </c>
      <c r="U119" s="39">
        <f>T119*$T$120</f>
        <v>392.8480772295448</v>
      </c>
      <c r="V119" s="19">
        <v>392.8480772295448</v>
      </c>
      <c r="W119" s="526">
        <f t="shared" si="87"/>
        <v>7.4630691862108645</v>
      </c>
      <c r="X119" s="39" t="str">
        <f t="shared" si="88"/>
        <v>BOA GAROTO</v>
      </c>
      <c r="Y119" s="33"/>
      <c r="Z119" s="33"/>
    </row>
    <row r="120" spans="1:28" s="19" customFormat="1" ht="15.75">
      <c r="A120" s="264"/>
      <c r="B120" s="56"/>
      <c r="C120" s="429" t="s">
        <v>220</v>
      </c>
      <c r="D120" s="56"/>
      <c r="E120" s="265"/>
      <c r="F120" s="265"/>
      <c r="G120" s="265"/>
      <c r="H120" s="265"/>
      <c r="I120" s="265"/>
      <c r="J120" s="265"/>
      <c r="K120" s="265"/>
      <c r="L120" s="266"/>
      <c r="M120" s="372">
        <f>SUM(M115:M119)</f>
        <v>5263.8943500000014</v>
      </c>
      <c r="N120" s="579"/>
      <c r="O120" s="532"/>
      <c r="P120" s="532"/>
      <c r="Q120" s="532"/>
      <c r="R120" s="532"/>
      <c r="T120" s="410">
        <v>5263.8943499999996</v>
      </c>
      <c r="U120" s="39" t="str">
        <f>IF(T120=M120,"BOA GAROTO","FAZ BATER")</f>
        <v>BOA GAROTO</v>
      </c>
      <c r="W120" s="33"/>
      <c r="X120" s="33"/>
      <c r="Y120" s="33"/>
      <c r="Z120" s="33"/>
    </row>
    <row r="121" spans="1:28" s="19" customFormat="1">
      <c r="A121" s="380" t="s">
        <v>781</v>
      </c>
      <c r="B121" s="380"/>
      <c r="C121" s="437" t="s">
        <v>782</v>
      </c>
      <c r="D121" s="382"/>
      <c r="E121" s="383"/>
      <c r="F121" s="383"/>
      <c r="G121" s="383"/>
      <c r="H121" s="383"/>
      <c r="I121" s="383"/>
      <c r="J121" s="383"/>
      <c r="K121" s="383"/>
      <c r="L121" s="384"/>
      <c r="M121" s="384"/>
      <c r="N121" s="395"/>
      <c r="O121" s="531"/>
      <c r="P121" s="531"/>
      <c r="Q121" s="531"/>
      <c r="R121" s="531"/>
      <c r="T121" s="410"/>
      <c r="W121" s="33"/>
      <c r="X121" s="33"/>
      <c r="Y121" s="33"/>
      <c r="Z121" s="33"/>
    </row>
    <row r="122" spans="1:28" s="19" customFormat="1">
      <c r="A122" s="380" t="s">
        <v>5</v>
      </c>
      <c r="B122" s="380"/>
      <c r="C122" s="437" t="s">
        <v>783</v>
      </c>
      <c r="D122" s="382"/>
      <c r="E122" s="383"/>
      <c r="F122" s="383"/>
      <c r="G122" s="383"/>
      <c r="H122" s="383"/>
      <c r="I122" s="383"/>
      <c r="J122" s="383"/>
      <c r="K122" s="383"/>
      <c r="L122" s="384"/>
      <c r="M122" s="384"/>
      <c r="N122" s="395"/>
      <c r="O122" s="531"/>
      <c r="P122" s="531"/>
      <c r="Q122" s="531"/>
      <c r="R122" s="531"/>
      <c r="T122" s="410"/>
      <c r="W122" s="33"/>
      <c r="X122" s="33"/>
      <c r="Y122" s="33"/>
      <c r="Z122" s="33"/>
    </row>
    <row r="123" spans="1:28" s="19" customFormat="1" ht="15.75">
      <c r="A123" s="24"/>
      <c r="B123" s="24" t="s">
        <v>6</v>
      </c>
      <c r="C123" s="403" t="s">
        <v>1081</v>
      </c>
      <c r="D123" s="26" t="s">
        <v>212</v>
      </c>
      <c r="E123" s="100">
        <f>(PI()*10^2)/4</f>
        <v>78.539816339744831</v>
      </c>
      <c r="F123" s="370">
        <v>1.25</v>
      </c>
      <c r="G123" s="370">
        <v>5.68</v>
      </c>
      <c r="H123" s="370">
        <f t="shared" ref="H123" si="89">F123+G123</f>
        <v>6.93</v>
      </c>
      <c r="I123" s="370">
        <f>H123*(1+'BDI - INFRAESTRUTURA'!$C$23)</f>
        <v>8.0284050000000011</v>
      </c>
      <c r="J123" s="370">
        <f>E123*F123</f>
        <v>98.174770424681043</v>
      </c>
      <c r="K123" s="370">
        <f>E123*G123</f>
        <v>446.10615680975064</v>
      </c>
      <c r="L123" s="371">
        <f>H123*E123</f>
        <v>544.28092723443172</v>
      </c>
      <c r="M123" s="371">
        <f>I123*E123</f>
        <v>630.54945420108925</v>
      </c>
      <c r="N123" s="577">
        <f>M146/$M$148</f>
        <v>2.3796299999999996E-2</v>
      </c>
      <c r="O123" s="532"/>
      <c r="P123" s="532"/>
      <c r="Q123" s="532"/>
      <c r="R123" s="532"/>
      <c r="T123" s="410">
        <v>20737.624049999999</v>
      </c>
      <c r="U123" s="39" t="str">
        <f>IF(T123=M122,"BOA GAROTO","FAZ BATER")</f>
        <v>FAZ BATER</v>
      </c>
      <c r="W123" s="33"/>
      <c r="X123" s="33"/>
      <c r="Y123" s="33"/>
      <c r="Z123" s="33"/>
    </row>
    <row r="124" spans="1:28" s="19" customFormat="1" ht="15.75">
      <c r="A124" s="24"/>
      <c r="B124" s="24" t="s">
        <v>7</v>
      </c>
      <c r="C124" s="403" t="s">
        <v>1082</v>
      </c>
      <c r="D124" s="26" t="s">
        <v>214</v>
      </c>
      <c r="E124" s="100">
        <f>((PI()*10^2)/4)*0.1</f>
        <v>7.8539816339744837</v>
      </c>
      <c r="F124" s="370">
        <v>60</v>
      </c>
      <c r="G124" s="370">
        <v>12.2</v>
      </c>
      <c r="H124" s="370">
        <f t="shared" ref="H124:H127" si="90">F124+G124</f>
        <v>72.2</v>
      </c>
      <c r="I124" s="370">
        <f>H124*(1+'BDI - INFRAESTRUTURA'!$C$23)</f>
        <v>83.64370000000001</v>
      </c>
      <c r="J124" s="370">
        <f t="shared" ref="J124:J127" si="91">E124*F124</f>
        <v>471.23889803846902</v>
      </c>
      <c r="K124" s="370">
        <f t="shared" ref="K124:K127" si="92">E124*G124</f>
        <v>95.818575934488692</v>
      </c>
      <c r="L124" s="371">
        <f t="shared" ref="L124:L127" si="93">H124*E124</f>
        <v>567.05747397295772</v>
      </c>
      <c r="M124" s="371">
        <f t="shared" ref="M124:M127" si="94">I124*E124</f>
        <v>656.93608359767154</v>
      </c>
      <c r="N124" s="578"/>
      <c r="O124" s="532"/>
      <c r="P124" s="532"/>
      <c r="Q124" s="532"/>
      <c r="R124" s="532"/>
      <c r="T124" s="410"/>
      <c r="U124" s="39"/>
      <c r="X124" s="33"/>
      <c r="Y124" s="33"/>
      <c r="Z124" s="33"/>
    </row>
    <row r="125" spans="1:28" s="19" customFormat="1" ht="15.75">
      <c r="A125" s="24"/>
      <c r="B125" s="24" t="s">
        <v>8</v>
      </c>
      <c r="C125" s="403" t="s">
        <v>1083</v>
      </c>
      <c r="D125" s="26" t="s">
        <v>214</v>
      </c>
      <c r="E125" s="100">
        <f>((PI()*10^2)/4)*0.05</f>
        <v>3.9269908169872418</v>
      </c>
      <c r="F125" s="370">
        <v>50</v>
      </c>
      <c r="G125" s="370">
        <v>13.5</v>
      </c>
      <c r="H125" s="370">
        <f t="shared" si="90"/>
        <v>63.5</v>
      </c>
      <c r="I125" s="370">
        <f>H125*(1+'BDI - INFRAESTRUTURA'!$C$23)</f>
        <v>73.564750000000004</v>
      </c>
      <c r="J125" s="370">
        <f t="shared" si="91"/>
        <v>196.34954084936209</v>
      </c>
      <c r="K125" s="370">
        <f t="shared" si="92"/>
        <v>53.014376029327764</v>
      </c>
      <c r="L125" s="371">
        <f t="shared" si="93"/>
        <v>249.36391687868985</v>
      </c>
      <c r="M125" s="371">
        <f t="shared" si="94"/>
        <v>288.88809770396222</v>
      </c>
      <c r="N125" s="578"/>
      <c r="O125" s="532"/>
      <c r="P125" s="532"/>
      <c r="Q125" s="532"/>
      <c r="R125" s="532"/>
      <c r="T125" s="410"/>
      <c r="U125" s="39"/>
      <c r="W125" s="411"/>
      <c r="X125" s="33"/>
      <c r="Y125" s="33"/>
      <c r="Z125" s="33"/>
    </row>
    <row r="126" spans="1:28" s="19" customFormat="1" ht="15.75">
      <c r="A126" s="24"/>
      <c r="B126" s="24" t="s">
        <v>355</v>
      </c>
      <c r="C126" s="403" t="s">
        <v>1084</v>
      </c>
      <c r="D126" s="26" t="s">
        <v>212</v>
      </c>
      <c r="E126" s="100">
        <f t="shared" ref="E126" si="95">(PI()*10^2)/4</f>
        <v>78.539816339744831</v>
      </c>
      <c r="F126" s="370">
        <v>30</v>
      </c>
      <c r="G126" s="370">
        <v>15.5</v>
      </c>
      <c r="H126" s="370">
        <f t="shared" si="90"/>
        <v>45.5</v>
      </c>
      <c r="I126" s="370">
        <f>H126*(1+'BDI - INFRAESTRUTURA'!$C$23)</f>
        <v>52.711750000000002</v>
      </c>
      <c r="J126" s="370">
        <f t="shared" si="91"/>
        <v>2356.1944901923448</v>
      </c>
      <c r="K126" s="370">
        <f t="shared" si="92"/>
        <v>1217.3671532660449</v>
      </c>
      <c r="L126" s="371">
        <f t="shared" si="93"/>
        <v>3573.5616434583899</v>
      </c>
      <c r="M126" s="371">
        <f t="shared" si="94"/>
        <v>4139.9711639465449</v>
      </c>
      <c r="N126" s="578"/>
      <c r="O126" s="532"/>
      <c r="P126" s="532"/>
      <c r="Q126" s="532"/>
      <c r="R126" s="532"/>
      <c r="T126" s="410"/>
      <c r="U126" s="39"/>
      <c r="W126" s="411"/>
      <c r="X126" s="33"/>
      <c r="Y126" s="33"/>
      <c r="Z126" s="33"/>
    </row>
    <row r="127" spans="1:28" s="19" customFormat="1" ht="25.5">
      <c r="A127" s="24"/>
      <c r="B127" s="24" t="s">
        <v>1086</v>
      </c>
      <c r="C127" s="403" t="s">
        <v>1085</v>
      </c>
      <c r="D127" s="26" t="s">
        <v>693</v>
      </c>
      <c r="E127" s="100">
        <v>7</v>
      </c>
      <c r="F127" s="370">
        <v>1481.8451693002748</v>
      </c>
      <c r="G127" s="370">
        <f>F127*0.25</f>
        <v>370.46129232506871</v>
      </c>
      <c r="H127" s="370">
        <f t="shared" si="90"/>
        <v>1852.3064616253437</v>
      </c>
      <c r="I127" s="370">
        <f>H127*(1+'BDI - INFRAESTRUTURA'!$C$23)</f>
        <v>2145.8970357929607</v>
      </c>
      <c r="J127" s="370">
        <f t="shared" si="91"/>
        <v>10372.916185101923</v>
      </c>
      <c r="K127" s="370">
        <f t="shared" si="92"/>
        <v>2593.2290462754809</v>
      </c>
      <c r="L127" s="371">
        <f t="shared" si="93"/>
        <v>12966.145231377406</v>
      </c>
      <c r="M127" s="371">
        <f t="shared" si="94"/>
        <v>15021.279250550724</v>
      </c>
      <c r="N127" s="578"/>
      <c r="O127" s="532"/>
      <c r="P127" s="532"/>
      <c r="Q127" s="532"/>
      <c r="R127" s="532"/>
      <c r="T127" s="410"/>
      <c r="U127" s="39"/>
      <c r="W127" s="411"/>
      <c r="X127" s="33"/>
      <c r="Y127" s="33"/>
      <c r="Z127" s="33"/>
    </row>
    <row r="128" spans="1:28" s="19" customFormat="1" ht="15.75">
      <c r="A128" s="380" t="s">
        <v>9</v>
      </c>
      <c r="B128" s="380"/>
      <c r="C128" s="437" t="s">
        <v>784</v>
      </c>
      <c r="D128" s="382"/>
      <c r="E128" s="383"/>
      <c r="F128" s="383"/>
      <c r="G128" s="383"/>
      <c r="H128" s="383"/>
      <c r="I128" s="383"/>
      <c r="J128" s="383"/>
      <c r="K128" s="383"/>
      <c r="L128" s="384"/>
      <c r="M128" s="384"/>
      <c r="N128" s="578"/>
      <c r="O128" s="532"/>
      <c r="P128" s="532"/>
      <c r="Q128" s="532"/>
      <c r="R128" s="532"/>
      <c r="T128" s="410"/>
      <c r="W128" s="33"/>
      <c r="X128" s="33"/>
      <c r="Y128" s="33"/>
      <c r="Z128" s="33"/>
    </row>
    <row r="129" spans="1:26" s="19" customFormat="1" ht="15.75">
      <c r="A129" s="24"/>
      <c r="B129" s="24" t="s">
        <v>168</v>
      </c>
      <c r="C129" s="403" t="s">
        <v>1081</v>
      </c>
      <c r="D129" s="26" t="s">
        <v>212</v>
      </c>
      <c r="E129" s="100">
        <v>98</v>
      </c>
      <c r="F129" s="370">
        <v>1.25</v>
      </c>
      <c r="G129" s="370">
        <v>5.68</v>
      </c>
      <c r="H129" s="370">
        <f t="shared" ref="H129" si="96">F129+G129</f>
        <v>6.93</v>
      </c>
      <c r="I129" s="370">
        <f>H129*(1+'BDI - INFRAESTRUTURA'!$C$23)</f>
        <v>8.0284050000000011</v>
      </c>
      <c r="J129" s="370">
        <f>E129*F129</f>
        <v>122.5</v>
      </c>
      <c r="K129" s="370">
        <f>E129*G129</f>
        <v>556.64</v>
      </c>
      <c r="L129" s="371">
        <f>H129*E129</f>
        <v>679.14</v>
      </c>
      <c r="M129" s="371">
        <f>I129*E129</f>
        <v>786.78369000000009</v>
      </c>
      <c r="N129" s="578"/>
      <c r="O129" s="532"/>
      <c r="P129" s="532"/>
      <c r="Q129" s="532"/>
      <c r="R129" s="532"/>
      <c r="S129" s="420">
        <f>SUM(M129:M135)</f>
        <v>42829.493849999992</v>
      </c>
      <c r="T129" s="410">
        <v>42829.493849999999</v>
      </c>
      <c r="U129" s="39" t="str">
        <f>IF(T129=S129,"BOA GAROTO","FAZ BATER")</f>
        <v>BOA GAROTO</v>
      </c>
      <c r="W129" s="33"/>
      <c r="Y129" s="33"/>
      <c r="Z129" s="33"/>
    </row>
    <row r="130" spans="1:26" s="19" customFormat="1" ht="15.75">
      <c r="A130" s="24"/>
      <c r="B130" s="24" t="s">
        <v>169</v>
      </c>
      <c r="C130" s="403" t="s">
        <v>1087</v>
      </c>
      <c r="D130" s="26" t="s">
        <v>214</v>
      </c>
      <c r="E130" s="100">
        <f>12*(11.2-3)*0.05</f>
        <v>4.92</v>
      </c>
      <c r="F130" s="370">
        <v>60</v>
      </c>
      <c r="G130" s="370">
        <v>12.2</v>
      </c>
      <c r="H130" s="370">
        <f t="shared" ref="H130:H135" si="97">F130+G130</f>
        <v>72.2</v>
      </c>
      <c r="I130" s="370">
        <f>H130*(1+'BDI - INFRAESTRUTURA'!$C$23)</f>
        <v>83.64370000000001</v>
      </c>
      <c r="J130" s="370">
        <f t="shared" ref="J130:J135" si="98">E130*F130</f>
        <v>295.2</v>
      </c>
      <c r="K130" s="370">
        <f t="shared" ref="K130:K135" si="99">E130*G130</f>
        <v>60.023999999999994</v>
      </c>
      <c r="L130" s="371">
        <f t="shared" ref="L130:L135" si="100">H130*E130</f>
        <v>355.22399999999999</v>
      </c>
      <c r="M130" s="371">
        <f t="shared" ref="M130:M135" si="101">I130*E130</f>
        <v>411.52700400000003</v>
      </c>
      <c r="N130" s="578"/>
      <c r="O130" s="532"/>
      <c r="P130" s="532"/>
      <c r="Q130" s="532"/>
      <c r="R130" s="532"/>
      <c r="T130" s="410"/>
      <c r="U130" s="39"/>
      <c r="W130" s="33"/>
      <c r="Y130" s="33"/>
      <c r="Z130" s="33"/>
    </row>
    <row r="131" spans="1:26" s="19" customFormat="1" ht="15.75">
      <c r="A131" s="24"/>
      <c r="B131" s="24" t="s">
        <v>170</v>
      </c>
      <c r="C131" s="403" t="s">
        <v>1088</v>
      </c>
      <c r="D131" s="26" t="s">
        <v>212</v>
      </c>
      <c r="E131" s="100">
        <v>98</v>
      </c>
      <c r="F131" s="370">
        <v>25.65</v>
      </c>
      <c r="G131" s="370">
        <f>F131*1.05</f>
        <v>26.932500000000001</v>
      </c>
      <c r="H131" s="370">
        <f t="shared" si="97"/>
        <v>52.582499999999996</v>
      </c>
      <c r="I131" s="370">
        <f>H131*(1+'BDI - INFRAESTRUTURA'!$C$23)</f>
        <v>60.91682625</v>
      </c>
      <c r="J131" s="370">
        <f t="shared" si="98"/>
        <v>2513.6999999999998</v>
      </c>
      <c r="K131" s="370">
        <f t="shared" si="99"/>
        <v>2639.3850000000002</v>
      </c>
      <c r="L131" s="371">
        <f t="shared" si="100"/>
        <v>5153.085</v>
      </c>
      <c r="M131" s="371">
        <f t="shared" si="101"/>
        <v>5969.8489724999999</v>
      </c>
      <c r="N131" s="578"/>
      <c r="O131" s="532"/>
      <c r="P131" s="532"/>
      <c r="Q131" s="532"/>
      <c r="R131" s="532"/>
      <c r="T131" s="410"/>
      <c r="U131" s="39"/>
      <c r="W131" s="33"/>
      <c r="Y131" s="33"/>
      <c r="Z131" s="33"/>
    </row>
    <row r="132" spans="1:26" s="19" customFormat="1" ht="25.5">
      <c r="A132" s="24"/>
      <c r="B132" s="24" t="s">
        <v>171</v>
      </c>
      <c r="C132" s="403" t="s">
        <v>1092</v>
      </c>
      <c r="D132" s="26" t="s">
        <v>693</v>
      </c>
      <c r="E132" s="100">
        <v>40</v>
      </c>
      <c r="F132" s="370">
        <v>18.000000000000004</v>
      </c>
      <c r="G132" s="370">
        <v>14.5</v>
      </c>
      <c r="H132" s="370">
        <f t="shared" si="97"/>
        <v>32.5</v>
      </c>
      <c r="I132" s="370">
        <f>H132*(1+'BDI - INFRAESTRUTURA'!$C$23)</f>
        <v>37.651250000000005</v>
      </c>
      <c r="J132" s="370">
        <f t="shared" si="98"/>
        <v>720.00000000000011</v>
      </c>
      <c r="K132" s="370">
        <f t="shared" si="99"/>
        <v>580</v>
      </c>
      <c r="L132" s="371">
        <f t="shared" si="100"/>
        <v>1300</v>
      </c>
      <c r="M132" s="371">
        <f t="shared" si="101"/>
        <v>1506.0500000000002</v>
      </c>
      <c r="N132" s="578"/>
      <c r="O132" s="532"/>
      <c r="P132" s="532"/>
      <c r="Q132" s="532"/>
      <c r="R132" s="532"/>
      <c r="T132" s="410"/>
      <c r="U132" s="39"/>
      <c r="W132" s="33"/>
      <c r="Y132" s="33"/>
      <c r="Z132" s="33"/>
    </row>
    <row r="133" spans="1:26" s="19" customFormat="1" ht="25.5">
      <c r="A133" s="24"/>
      <c r="B133" s="24" t="s">
        <v>1089</v>
      </c>
      <c r="C133" s="166" t="s">
        <v>1093</v>
      </c>
      <c r="D133" s="26" t="s">
        <v>212</v>
      </c>
      <c r="E133" s="100">
        <v>60</v>
      </c>
      <c r="F133" s="370">
        <v>22</v>
      </c>
      <c r="G133" s="370">
        <f>F133*0.75</f>
        <v>16.5</v>
      </c>
      <c r="H133" s="370">
        <f t="shared" si="97"/>
        <v>38.5</v>
      </c>
      <c r="I133" s="370">
        <f>H133*(1+'BDI - INFRAESTRUTURA'!$C$23)</f>
        <v>44.602250000000005</v>
      </c>
      <c r="J133" s="370">
        <f t="shared" si="98"/>
        <v>1320</v>
      </c>
      <c r="K133" s="370">
        <f t="shared" si="99"/>
        <v>990</v>
      </c>
      <c r="L133" s="371">
        <f t="shared" si="100"/>
        <v>2310</v>
      </c>
      <c r="M133" s="371">
        <f t="shared" si="101"/>
        <v>2676.1350000000002</v>
      </c>
      <c r="N133" s="578"/>
      <c r="O133" s="532"/>
      <c r="P133" s="532"/>
      <c r="Q133" s="532"/>
      <c r="R133" s="532"/>
      <c r="T133" s="410"/>
      <c r="U133" s="39"/>
      <c r="W133" s="33"/>
      <c r="Y133" s="33"/>
      <c r="Z133" s="33"/>
    </row>
    <row r="134" spans="1:26" s="19" customFormat="1" ht="15.75">
      <c r="A134" s="24"/>
      <c r="B134" s="24" t="s">
        <v>1090</v>
      </c>
      <c r="C134" s="166" t="s">
        <v>1094</v>
      </c>
      <c r="D134" s="26" t="s">
        <v>212</v>
      </c>
      <c r="E134" s="100">
        <v>60</v>
      </c>
      <c r="F134" s="370">
        <v>261.64087685081273</v>
      </c>
      <c r="G134" s="370">
        <v>75</v>
      </c>
      <c r="H134" s="370">
        <f t="shared" si="97"/>
        <v>336.64087685081273</v>
      </c>
      <c r="I134" s="370">
        <f>H134*(1+'BDI - INFRAESTRUTURA'!$C$23)</f>
        <v>389.9984558316666</v>
      </c>
      <c r="J134" s="370">
        <f t="shared" si="98"/>
        <v>15698.452611048764</v>
      </c>
      <c r="K134" s="370">
        <f t="shared" si="99"/>
        <v>4500</v>
      </c>
      <c r="L134" s="371">
        <f t="shared" si="100"/>
        <v>20198.452611048764</v>
      </c>
      <c r="M134" s="371">
        <f t="shared" si="101"/>
        <v>23399.907349899997</v>
      </c>
      <c r="N134" s="578"/>
      <c r="O134" s="532"/>
      <c r="P134" s="532"/>
      <c r="Q134" s="532"/>
      <c r="R134" s="532"/>
      <c r="Y134" s="33"/>
      <c r="Z134" s="33"/>
    </row>
    <row r="135" spans="1:26" s="19" customFormat="1" ht="25.5">
      <c r="A135" s="24"/>
      <c r="B135" s="24" t="s">
        <v>1091</v>
      </c>
      <c r="C135" s="166" t="s">
        <v>1095</v>
      </c>
      <c r="D135" s="26" t="s">
        <v>212</v>
      </c>
      <c r="E135" s="100">
        <v>85.12</v>
      </c>
      <c r="F135" s="370">
        <f>30.74+9</f>
        <v>39.739999999999995</v>
      </c>
      <c r="G135" s="370">
        <f>32.19+10</f>
        <v>42.19</v>
      </c>
      <c r="H135" s="370">
        <f t="shared" si="97"/>
        <v>81.929999999999993</v>
      </c>
      <c r="I135" s="370">
        <f>H135*(1+'BDI - INFRAESTRUTURA'!$C$23)</f>
        <v>94.915904999999995</v>
      </c>
      <c r="J135" s="370">
        <f t="shared" si="98"/>
        <v>3382.6687999999999</v>
      </c>
      <c r="K135" s="370">
        <f t="shared" si="99"/>
        <v>3591.2127999999998</v>
      </c>
      <c r="L135" s="371">
        <f t="shared" si="100"/>
        <v>6973.8815999999997</v>
      </c>
      <c r="M135" s="371">
        <f t="shared" si="101"/>
        <v>8079.2418336000001</v>
      </c>
      <c r="N135" s="578"/>
      <c r="O135" s="532"/>
      <c r="P135" s="532"/>
      <c r="Q135" s="532"/>
      <c r="R135" s="532"/>
      <c r="T135" s="410"/>
      <c r="U135" s="39"/>
      <c r="W135" s="33"/>
      <c r="Y135" s="33"/>
      <c r="Z135" s="33"/>
    </row>
    <row r="136" spans="1:26" s="19" customFormat="1" ht="15.75">
      <c r="A136" s="380" t="s">
        <v>432</v>
      </c>
      <c r="B136" s="380"/>
      <c r="C136" s="437" t="s">
        <v>785</v>
      </c>
      <c r="D136" s="382"/>
      <c r="E136" s="383"/>
      <c r="F136" s="383"/>
      <c r="G136" s="383"/>
      <c r="H136" s="383"/>
      <c r="I136" s="383"/>
      <c r="J136" s="383"/>
      <c r="K136" s="383"/>
      <c r="L136" s="384"/>
      <c r="M136" s="384"/>
      <c r="N136" s="578"/>
      <c r="O136" s="532"/>
      <c r="P136" s="532"/>
      <c r="Q136" s="532"/>
      <c r="R136" s="532"/>
      <c r="T136" s="410"/>
      <c r="W136" s="33"/>
      <c r="X136" s="33"/>
      <c r="Y136" s="33"/>
      <c r="Z136" s="33"/>
    </row>
    <row r="137" spans="1:26" s="19" customFormat="1" ht="25.5">
      <c r="A137" s="24"/>
      <c r="B137" s="24" t="s">
        <v>786</v>
      </c>
      <c r="C137" s="166" t="s">
        <v>1108</v>
      </c>
      <c r="D137" s="26" t="s">
        <v>693</v>
      </c>
      <c r="E137" s="100">
        <f>E139/4</f>
        <v>3</v>
      </c>
      <c r="F137" s="370">
        <v>49.708159999999999</v>
      </c>
      <c r="G137" s="370">
        <f>F137</f>
        <v>49.708159999999999</v>
      </c>
      <c r="H137" s="370">
        <f t="shared" ref="H137" si="102">F137+G137</f>
        <v>99.416319999999999</v>
      </c>
      <c r="I137" s="370">
        <f>H137*(1+'BDI - INFRAESTRUTURA'!$C$23)</f>
        <v>115.17380672</v>
      </c>
      <c r="J137" s="370">
        <f>E137*F137</f>
        <v>149.12448000000001</v>
      </c>
      <c r="K137" s="370">
        <f>E137*G137</f>
        <v>149.12448000000001</v>
      </c>
      <c r="L137" s="371">
        <f>H137*E137</f>
        <v>298.24896000000001</v>
      </c>
      <c r="M137" s="371">
        <f>I137*E137</f>
        <v>345.52142015999999</v>
      </c>
      <c r="N137" s="578"/>
      <c r="O137" s="532"/>
      <c r="P137" s="532"/>
      <c r="Q137" s="532"/>
      <c r="R137" s="532"/>
      <c r="S137" s="420">
        <f>SUM(M137:M145)</f>
        <v>21349.978650000005</v>
      </c>
      <c r="T137" s="410">
        <v>21349.978650000001</v>
      </c>
      <c r="U137" s="39" t="str">
        <f>IF(T137=S137,"BOA GAROTO","FAZ BATER")</f>
        <v>BOA GAROTO</v>
      </c>
      <c r="W137" s="33"/>
      <c r="X137" s="33"/>
      <c r="Y137" s="33"/>
      <c r="Z137" s="33"/>
    </row>
    <row r="138" spans="1:26" s="19" customFormat="1" ht="25.5">
      <c r="A138" s="24"/>
      <c r="B138" s="24" t="s">
        <v>1102</v>
      </c>
      <c r="C138" s="166" t="s">
        <v>1101</v>
      </c>
      <c r="D138" s="26" t="s">
        <v>693</v>
      </c>
      <c r="E138" s="100">
        <v>24</v>
      </c>
      <c r="F138" s="370">
        <v>320</v>
      </c>
      <c r="G138" s="370">
        <v>60.56159467270912</v>
      </c>
      <c r="H138" s="370">
        <f t="shared" ref="H138:H145" si="103">F138+G138</f>
        <v>380.56159467270913</v>
      </c>
      <c r="I138" s="370">
        <f>H138*(1+'BDI - INFRAESTRUTURA'!$C$23)</f>
        <v>440.88060742833358</v>
      </c>
      <c r="J138" s="370">
        <f t="shared" ref="J138:J145" si="104">E138*F138</f>
        <v>7680</v>
      </c>
      <c r="K138" s="370">
        <f t="shared" ref="K138:K145" si="105">E138*G138</f>
        <v>1453.4782721450188</v>
      </c>
      <c r="L138" s="371">
        <f t="shared" ref="L138:L145" si="106">H138*E138</f>
        <v>9133.4782721450192</v>
      </c>
      <c r="M138" s="371">
        <f t="shared" ref="M138:M145" si="107">I138*E138</f>
        <v>10581.134578280005</v>
      </c>
      <c r="N138" s="578"/>
      <c r="O138" s="532"/>
      <c r="P138" s="532"/>
      <c r="Q138" s="532"/>
      <c r="R138" s="532"/>
      <c r="T138" s="410"/>
      <c r="U138" s="39"/>
      <c r="W138" s="33"/>
      <c r="X138" s="33"/>
      <c r="Y138" s="33"/>
      <c r="Z138" s="33"/>
    </row>
    <row r="139" spans="1:26" s="19" customFormat="1" ht="25.5">
      <c r="A139" s="24"/>
      <c r="B139" s="24" t="s">
        <v>1103</v>
      </c>
      <c r="C139" s="166" t="s">
        <v>1100</v>
      </c>
      <c r="D139" s="26" t="s">
        <v>693</v>
      </c>
      <c r="E139" s="100">
        <v>12</v>
      </c>
      <c r="F139" s="370">
        <f>F137*0.75</f>
        <v>37.281120000000001</v>
      </c>
      <c r="G139" s="370">
        <f>G137*0.75</f>
        <v>37.281120000000001</v>
      </c>
      <c r="H139" s="370">
        <f t="shared" si="103"/>
        <v>74.562240000000003</v>
      </c>
      <c r="I139" s="370">
        <f>H139*(1+'BDI - INFRAESTRUTURA'!$C$23)</f>
        <v>86.380355040000012</v>
      </c>
      <c r="J139" s="370">
        <f t="shared" si="104"/>
        <v>447.37344000000002</v>
      </c>
      <c r="K139" s="370">
        <f t="shared" si="105"/>
        <v>447.37344000000002</v>
      </c>
      <c r="L139" s="371">
        <f t="shared" si="106"/>
        <v>894.74688000000003</v>
      </c>
      <c r="M139" s="371">
        <f t="shared" si="107"/>
        <v>1036.56426048</v>
      </c>
      <c r="N139" s="578"/>
      <c r="O139" s="532"/>
      <c r="P139" s="532"/>
      <c r="Q139" s="532"/>
      <c r="R139" s="532"/>
      <c r="T139" s="410"/>
      <c r="U139" s="39"/>
      <c r="W139" s="33"/>
      <c r="X139" s="33"/>
      <c r="Y139" s="33"/>
      <c r="Z139" s="33"/>
    </row>
    <row r="140" spans="1:26" s="19" customFormat="1" ht="25.5">
      <c r="A140" s="24"/>
      <c r="B140" s="24" t="s">
        <v>1104</v>
      </c>
      <c r="C140" s="166" t="s">
        <v>1112</v>
      </c>
      <c r="D140" s="26" t="s">
        <v>212</v>
      </c>
      <c r="E140" s="100">
        <f>(0.63*0.4*4*E137)+(E139*0.2*0.38*4)</f>
        <v>6.6720000000000006</v>
      </c>
      <c r="F140" s="370">
        <v>8.52</v>
      </c>
      <c r="G140" s="370">
        <v>18.52</v>
      </c>
      <c r="H140" s="370">
        <f t="shared" ref="H140" si="108">F140+G140</f>
        <v>27.04</v>
      </c>
      <c r="I140" s="370">
        <f>H140*(1+'BDI - INFRAESTRUTURA'!$C$23)</f>
        <v>31.325840000000003</v>
      </c>
      <c r="J140" s="370">
        <f t="shared" ref="J140" si="109">E140*F140</f>
        <v>56.845440000000004</v>
      </c>
      <c r="K140" s="370">
        <f t="shared" ref="K140" si="110">E140*G140</f>
        <v>123.56544000000001</v>
      </c>
      <c r="L140" s="371">
        <f t="shared" ref="L140" si="111">H140*E140</f>
        <v>180.41088000000002</v>
      </c>
      <c r="M140" s="371">
        <f t="shared" ref="M140" si="112">I140*E140</f>
        <v>209.00600448000003</v>
      </c>
      <c r="N140" s="578"/>
      <c r="O140" s="532"/>
      <c r="P140" s="532"/>
      <c r="Q140" s="532"/>
      <c r="R140" s="532"/>
      <c r="T140" s="410"/>
      <c r="U140" s="39"/>
      <c r="W140" s="33"/>
      <c r="X140" s="33"/>
      <c r="Y140" s="33"/>
      <c r="Z140" s="33"/>
    </row>
    <row r="141" spans="1:26" s="19" customFormat="1" ht="76.5">
      <c r="A141" s="24"/>
      <c r="B141" s="24" t="s">
        <v>1105</v>
      </c>
      <c r="C141" s="166" t="s">
        <v>1096</v>
      </c>
      <c r="D141" s="26" t="s">
        <v>693</v>
      </c>
      <c r="E141" s="100">
        <v>2</v>
      </c>
      <c r="F141" s="370">
        <v>2050</v>
      </c>
      <c r="G141" s="370">
        <v>650</v>
      </c>
      <c r="H141" s="370">
        <f t="shared" si="103"/>
        <v>2700</v>
      </c>
      <c r="I141" s="370">
        <f>H141*(1+'BDI - INFRAESTRUTURA'!$C$23)</f>
        <v>3127.9500000000003</v>
      </c>
      <c r="J141" s="370">
        <f t="shared" si="104"/>
        <v>4100</v>
      </c>
      <c r="K141" s="370">
        <f t="shared" si="105"/>
        <v>1300</v>
      </c>
      <c r="L141" s="371">
        <f t="shared" si="106"/>
        <v>5400</v>
      </c>
      <c r="M141" s="371">
        <f t="shared" si="107"/>
        <v>6255.9000000000005</v>
      </c>
      <c r="N141" s="578"/>
      <c r="O141" s="532"/>
      <c r="P141" s="532"/>
      <c r="Q141" s="532"/>
      <c r="R141" s="532"/>
      <c r="T141" s="410">
        <f>8*2*1.25</f>
        <v>20</v>
      </c>
      <c r="U141" s="39">
        <f>T141*1.5</f>
        <v>30</v>
      </c>
      <c r="V141" s="547">
        <f>U141+U142</f>
        <v>41.68</v>
      </c>
      <c r="W141" s="548">
        <f>V141+W142</f>
        <v>49.708159999999999</v>
      </c>
      <c r="X141" s="33"/>
      <c r="Y141" s="33"/>
      <c r="Z141" s="33"/>
    </row>
    <row r="142" spans="1:26" s="19" customFormat="1" ht="25.5">
      <c r="A142" s="24"/>
      <c r="B142" s="24" t="s">
        <v>1106</v>
      </c>
      <c r="C142" s="166" t="s">
        <v>1097</v>
      </c>
      <c r="D142" s="26" t="s">
        <v>873</v>
      </c>
      <c r="E142" s="100">
        <f>0.9*0.9*2*2</f>
        <v>3.24</v>
      </c>
      <c r="F142" s="370">
        <f>79/3.24</f>
        <v>24.382716049382715</v>
      </c>
      <c r="G142" s="370">
        <v>18.52</v>
      </c>
      <c r="H142" s="370">
        <f t="shared" si="103"/>
        <v>42.902716049382718</v>
      </c>
      <c r="I142" s="370">
        <f>H142*(1+'BDI - INFRAESTRUTURA'!$C$23)</f>
        <v>49.702796543209885</v>
      </c>
      <c r="J142" s="370">
        <f t="shared" si="104"/>
        <v>79</v>
      </c>
      <c r="K142" s="370">
        <f t="shared" si="105"/>
        <v>60.004800000000003</v>
      </c>
      <c r="L142" s="371">
        <f t="shared" si="106"/>
        <v>139.00480000000002</v>
      </c>
      <c r="M142" s="371">
        <f t="shared" si="107"/>
        <v>161.03706080000003</v>
      </c>
      <c r="N142" s="578"/>
      <c r="O142" s="532"/>
      <c r="P142" s="532"/>
      <c r="Q142" s="532"/>
      <c r="R142" s="532"/>
      <c r="T142" s="410">
        <f>5*2*21.9/12</f>
        <v>18.25</v>
      </c>
      <c r="U142" s="39">
        <f>T142*0.64</f>
        <v>11.68</v>
      </c>
      <c r="V142" s="19">
        <f>0.07*0.64*0.64</f>
        <v>2.8672000000000003E-2</v>
      </c>
      <c r="W142" s="33">
        <f>V142*280</f>
        <v>8.0281600000000015</v>
      </c>
      <c r="X142" s="33"/>
      <c r="Y142" s="33"/>
      <c r="Z142" s="33"/>
    </row>
    <row r="143" spans="1:26" s="19" customFormat="1" ht="25.5">
      <c r="A143" s="24"/>
      <c r="B143" s="24" t="s">
        <v>1107</v>
      </c>
      <c r="C143" s="166" t="s">
        <v>1098</v>
      </c>
      <c r="D143" s="26" t="s">
        <v>873</v>
      </c>
      <c r="E143" s="100">
        <f>0.9*0.9*2*2</f>
        <v>3.24</v>
      </c>
      <c r="F143" s="370">
        <f>88/3.24</f>
        <v>27.160493827160494</v>
      </c>
      <c r="G143" s="370">
        <v>18.52</v>
      </c>
      <c r="H143" s="370">
        <f t="shared" si="103"/>
        <v>45.68049382716049</v>
      </c>
      <c r="I143" s="370">
        <f>H143*(1+'BDI - INFRAESTRUTURA'!$C$23)</f>
        <v>52.92085209876543</v>
      </c>
      <c r="J143" s="370">
        <f t="shared" si="104"/>
        <v>88</v>
      </c>
      <c r="K143" s="370">
        <f t="shared" si="105"/>
        <v>60.004800000000003</v>
      </c>
      <c r="L143" s="371">
        <f t="shared" si="106"/>
        <v>148.00479999999999</v>
      </c>
      <c r="M143" s="371">
        <f t="shared" si="107"/>
        <v>171.46356080000001</v>
      </c>
      <c r="N143" s="578"/>
      <c r="O143" s="532"/>
      <c r="P143" s="532"/>
      <c r="Q143" s="532"/>
      <c r="R143" s="532"/>
      <c r="T143" s="410"/>
      <c r="U143" s="39" t="s">
        <v>1111</v>
      </c>
      <c r="W143" s="33"/>
      <c r="X143" s="33"/>
      <c r="Y143" s="33"/>
      <c r="Z143" s="33"/>
    </row>
    <row r="144" spans="1:26" s="19" customFormat="1" ht="15.75">
      <c r="A144" s="24"/>
      <c r="B144" s="24" t="s">
        <v>1110</v>
      </c>
      <c r="C144" s="166" t="s">
        <v>1099</v>
      </c>
      <c r="D144" s="26" t="s">
        <v>693</v>
      </c>
      <c r="E144" s="100">
        <v>3</v>
      </c>
      <c r="F144" s="370">
        <v>350</v>
      </c>
      <c r="G144" s="370">
        <v>40</v>
      </c>
      <c r="H144" s="370">
        <f t="shared" si="103"/>
        <v>390</v>
      </c>
      <c r="I144" s="370">
        <f>H144*(1+'BDI - INFRAESTRUTURA'!$C$23)</f>
        <v>451.81500000000005</v>
      </c>
      <c r="J144" s="370">
        <f t="shared" si="104"/>
        <v>1050</v>
      </c>
      <c r="K144" s="370">
        <f t="shared" si="105"/>
        <v>120</v>
      </c>
      <c r="L144" s="371">
        <f t="shared" si="106"/>
        <v>1170</v>
      </c>
      <c r="M144" s="371">
        <f t="shared" si="107"/>
        <v>1355.4450000000002</v>
      </c>
      <c r="N144" s="578"/>
      <c r="O144" s="532"/>
      <c r="P144" s="532"/>
      <c r="Q144" s="532"/>
      <c r="R144" s="532"/>
      <c r="T144" s="410"/>
      <c r="U144" s="39"/>
      <c r="W144" s="33"/>
      <c r="X144" s="33"/>
      <c r="Y144" s="33"/>
      <c r="Z144" s="33"/>
    </row>
    <row r="145" spans="1:26" s="19" customFormat="1" ht="15.75">
      <c r="A145" s="24"/>
      <c r="B145" s="24" t="s">
        <v>1113</v>
      </c>
      <c r="C145" s="166" t="s">
        <v>1109</v>
      </c>
      <c r="D145" s="26" t="s">
        <v>693</v>
      </c>
      <c r="E145" s="100">
        <v>13</v>
      </c>
      <c r="F145" s="370">
        <f>30.74+9</f>
        <v>39.739999999999995</v>
      </c>
      <c r="G145" s="370">
        <f>32.19+10</f>
        <v>42.19</v>
      </c>
      <c r="H145" s="370">
        <f t="shared" si="103"/>
        <v>81.929999999999993</v>
      </c>
      <c r="I145" s="370">
        <f>H145*(1+'BDI - INFRAESTRUTURA'!$C$23)</f>
        <v>94.915904999999995</v>
      </c>
      <c r="J145" s="370">
        <f t="shared" si="104"/>
        <v>516.61999999999989</v>
      </c>
      <c r="K145" s="370">
        <f t="shared" si="105"/>
        <v>548.47</v>
      </c>
      <c r="L145" s="371">
        <f t="shared" si="106"/>
        <v>1065.0899999999999</v>
      </c>
      <c r="M145" s="371">
        <f t="shared" si="107"/>
        <v>1233.906765</v>
      </c>
      <c r="N145" s="578"/>
      <c r="O145" s="532"/>
      <c r="P145" s="532"/>
      <c r="Q145" s="532"/>
      <c r="R145" s="532"/>
      <c r="T145" s="410"/>
      <c r="U145" s="39"/>
      <c r="W145" s="33"/>
      <c r="X145" s="33"/>
      <c r="Y145" s="33"/>
      <c r="Z145" s="33"/>
    </row>
    <row r="146" spans="1:26" s="19" customFormat="1" ht="12.75" customHeight="1">
      <c r="A146" s="264"/>
      <c r="B146" s="56"/>
      <c r="C146" s="429" t="s">
        <v>220</v>
      </c>
      <c r="D146" s="56"/>
      <c r="E146" s="265"/>
      <c r="F146" s="265"/>
      <c r="G146" s="265"/>
      <c r="H146" s="265"/>
      <c r="I146" s="265"/>
      <c r="J146" s="265"/>
      <c r="K146" s="265"/>
      <c r="L146" s="266"/>
      <c r="M146" s="372">
        <f>SUM(M123:M145)</f>
        <v>84917.096549999987</v>
      </c>
      <c r="N146" s="579"/>
      <c r="O146" s="532"/>
      <c r="P146" s="532"/>
      <c r="Q146" s="532"/>
      <c r="R146" s="532"/>
      <c r="T146" s="410">
        <v>235521</v>
      </c>
      <c r="U146" s="39" t="str">
        <f>IF(T146=M147,"BOA GAROTO","FAZ BATER")</f>
        <v>BOA GAROTO</v>
      </c>
      <c r="W146" s="33"/>
      <c r="X146" s="33"/>
      <c r="Y146" s="33"/>
      <c r="Z146" s="33"/>
    </row>
    <row r="147" spans="1:26" ht="12.75" customHeight="1">
      <c r="A147" s="558" t="s">
        <v>45</v>
      </c>
      <c r="B147" s="559"/>
      <c r="C147" s="559"/>
      <c r="D147" s="559"/>
      <c r="E147" s="559"/>
      <c r="F147" s="559"/>
      <c r="G147" s="559"/>
      <c r="H147" s="559"/>
      <c r="I147" s="559"/>
      <c r="J147" s="559"/>
      <c r="K147" s="559"/>
      <c r="L147" s="560"/>
      <c r="M147" s="384">
        <f>SUM(M13:M146)/2</f>
        <v>235520.99999999994</v>
      </c>
      <c r="N147" s="395">
        <f>M147/$M$148</f>
        <v>6.5999999999999989E-2</v>
      </c>
      <c r="O147" s="531"/>
      <c r="P147" s="531"/>
      <c r="Q147" s="531"/>
      <c r="R147" s="531"/>
      <c r="T147" s="237"/>
      <c r="U147" s="39"/>
    </row>
    <row r="148" spans="1:26">
      <c r="A148" s="558" t="s">
        <v>669</v>
      </c>
      <c r="B148" s="559"/>
      <c r="C148" s="559"/>
      <c r="D148" s="559"/>
      <c r="E148" s="559"/>
      <c r="F148" s="559"/>
      <c r="G148" s="559"/>
      <c r="H148" s="559"/>
      <c r="I148" s="559"/>
      <c r="J148" s="559"/>
      <c r="K148" s="559"/>
      <c r="L148" s="560"/>
      <c r="M148" s="384">
        <f>'TABELA DE MEDIÇÃO E FATURAMENTO'!G10</f>
        <v>3568500</v>
      </c>
      <c r="N148" s="385"/>
      <c r="O148" s="533"/>
      <c r="P148" s="533"/>
      <c r="Q148" s="533"/>
      <c r="R148" s="533"/>
    </row>
    <row r="149" spans="1:26">
      <c r="A149" s="32"/>
      <c r="B149" s="32"/>
      <c r="C149" s="32"/>
      <c r="D149" s="32"/>
      <c r="E149" s="101"/>
      <c r="F149" s="101"/>
      <c r="G149" s="101"/>
      <c r="H149" s="101"/>
      <c r="I149" s="101"/>
      <c r="J149" s="101"/>
      <c r="K149" s="101"/>
      <c r="L149" s="32"/>
      <c r="M149" s="32"/>
      <c r="N149" s="391"/>
      <c r="O149" s="391"/>
      <c r="P149" s="391"/>
      <c r="Q149" s="391"/>
      <c r="R149" s="391"/>
    </row>
    <row r="150" spans="1:26">
      <c r="A150" s="425"/>
      <c r="B150" s="425"/>
      <c r="C150" s="431"/>
      <c r="D150" s="425"/>
      <c r="E150" s="101"/>
      <c r="F150" s="101"/>
      <c r="G150" s="101"/>
      <c r="H150" s="431" t="s">
        <v>178</v>
      </c>
      <c r="I150" s="431"/>
      <c r="J150" s="431"/>
      <c r="K150" s="101"/>
      <c r="L150" s="425"/>
      <c r="M150" s="425"/>
      <c r="N150" s="392"/>
      <c r="O150" s="392"/>
      <c r="P150" s="392"/>
      <c r="Q150" s="392"/>
      <c r="R150" s="392"/>
    </row>
    <row r="151" spans="1:26">
      <c r="A151" s="425"/>
      <c r="B151" s="425"/>
      <c r="C151" s="431"/>
      <c r="H151" s="430" t="s">
        <v>790</v>
      </c>
      <c r="I151" s="430"/>
      <c r="J151" s="430"/>
    </row>
    <row r="152" spans="1:26">
      <c r="H152" s="430" t="s">
        <v>791</v>
      </c>
      <c r="I152" s="430"/>
      <c r="J152" s="430"/>
    </row>
    <row r="153" spans="1:26">
      <c r="H153" s="430" t="s">
        <v>177</v>
      </c>
      <c r="I153" s="430"/>
      <c r="J153" s="430"/>
    </row>
    <row r="154" spans="1:26">
      <c r="H154" s="557" t="s">
        <v>792</v>
      </c>
      <c r="I154" s="557"/>
      <c r="J154" s="557"/>
      <c r="T154" s="5"/>
    </row>
    <row r="158" spans="1:26">
      <c r="T158" s="411"/>
    </row>
    <row r="159" spans="1:26">
      <c r="T159" s="411"/>
    </row>
  </sheetData>
  <mergeCells count="9">
    <mergeCell ref="H154:J154"/>
    <mergeCell ref="A148:L148"/>
    <mergeCell ref="A2:N2"/>
    <mergeCell ref="A4:N4"/>
    <mergeCell ref="A147:L147"/>
    <mergeCell ref="N115:N120"/>
    <mergeCell ref="N68:N113"/>
    <mergeCell ref="N123:N146"/>
    <mergeCell ref="N12:N66"/>
  </mergeCells>
  <phoneticPr fontId="71" type="noConversion"/>
  <pageMargins left="0.511811024" right="0.511811024" top="0.78740157499999996" bottom="0.78740157499999996" header="0.31496062000000002" footer="0.31496062000000002"/>
  <pageSetup paperSize="9" scale="70" fitToHeight="0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BDC21-78BA-4C09-B545-0DA02DD7FCE2}">
  <sheetPr>
    <tabColor rgb="FF00B0F0"/>
    <pageSetUpPr fitToPage="1"/>
  </sheetPr>
  <dimension ref="A5:M52"/>
  <sheetViews>
    <sheetView view="pageBreakPreview" topLeftCell="A31" zoomScale="90" zoomScaleNormal="100" zoomScaleSheetLayoutView="90" workbookViewId="0">
      <selection activeCell="G40" sqref="G40"/>
    </sheetView>
  </sheetViews>
  <sheetFormatPr defaultRowHeight="15"/>
  <cols>
    <col min="1" max="1" width="9.140625" style="224"/>
    <col min="2" max="2" width="29.140625" style="224" customWidth="1"/>
    <col min="3" max="3" width="56.42578125" style="224" customWidth="1"/>
    <col min="4" max="4" width="12.28515625" style="224" customWidth="1"/>
    <col min="5" max="5" width="13" style="224" customWidth="1"/>
    <col min="6" max="6" width="17.85546875" style="224" customWidth="1"/>
    <col min="7" max="7" width="30.140625" style="224" customWidth="1"/>
    <col min="8" max="8" width="12.28515625" style="224" bestFit="1" customWidth="1"/>
    <col min="9" max="9" width="12.5703125" style="224" bestFit="1" customWidth="1"/>
    <col min="10" max="10" width="9.140625" style="224"/>
    <col min="11" max="11" width="11.42578125" style="224" bestFit="1" customWidth="1"/>
    <col min="12" max="247" width="9.140625" style="224"/>
    <col min="248" max="248" width="29.140625" style="224" customWidth="1"/>
    <col min="249" max="249" width="56.42578125" style="224" customWidth="1"/>
    <col min="250" max="250" width="12.28515625" style="224" customWidth="1"/>
    <col min="251" max="251" width="13" style="224" customWidth="1"/>
    <col min="252" max="253" width="17.85546875" style="224" customWidth="1"/>
    <col min="254" max="260" width="0" style="224" hidden="1" customWidth="1"/>
    <col min="261" max="262" width="9.140625" style="224"/>
    <col min="263" max="263" width="11.28515625" style="224" bestFit="1" customWidth="1"/>
    <col min="264" max="264" width="12.28515625" style="224" bestFit="1" customWidth="1"/>
    <col min="265" max="503" width="9.140625" style="224"/>
    <col min="504" max="504" width="29.140625" style="224" customWidth="1"/>
    <col min="505" max="505" width="56.42578125" style="224" customWidth="1"/>
    <col min="506" max="506" width="12.28515625" style="224" customWidth="1"/>
    <col min="507" max="507" width="13" style="224" customWidth="1"/>
    <col min="508" max="509" width="17.85546875" style="224" customWidth="1"/>
    <col min="510" max="516" width="0" style="224" hidden="1" customWidth="1"/>
    <col min="517" max="518" width="9.140625" style="224"/>
    <col min="519" max="519" width="11.28515625" style="224" bestFit="1" customWidth="1"/>
    <col min="520" max="520" width="12.28515625" style="224" bestFit="1" customWidth="1"/>
    <col min="521" max="759" width="9.140625" style="224"/>
    <col min="760" max="760" width="29.140625" style="224" customWidth="1"/>
    <col min="761" max="761" width="56.42578125" style="224" customWidth="1"/>
    <col min="762" max="762" width="12.28515625" style="224" customWidth="1"/>
    <col min="763" max="763" width="13" style="224" customWidth="1"/>
    <col min="764" max="765" width="17.85546875" style="224" customWidth="1"/>
    <col min="766" max="772" width="0" style="224" hidden="1" customWidth="1"/>
    <col min="773" max="774" width="9.140625" style="224"/>
    <col min="775" max="775" width="11.28515625" style="224" bestFit="1" customWidth="1"/>
    <col min="776" max="776" width="12.28515625" style="224" bestFit="1" customWidth="1"/>
    <col min="777" max="1015" width="9.140625" style="224"/>
    <col min="1016" max="1016" width="29.140625" style="224" customWidth="1"/>
    <col min="1017" max="1017" width="56.42578125" style="224" customWidth="1"/>
    <col min="1018" max="1018" width="12.28515625" style="224" customWidth="1"/>
    <col min="1019" max="1019" width="13" style="224" customWidth="1"/>
    <col min="1020" max="1021" width="17.85546875" style="224" customWidth="1"/>
    <col min="1022" max="1028" width="0" style="224" hidden="1" customWidth="1"/>
    <col min="1029" max="1030" width="9.140625" style="224"/>
    <col min="1031" max="1031" width="11.28515625" style="224" bestFit="1" customWidth="1"/>
    <col min="1032" max="1032" width="12.28515625" style="224" bestFit="1" customWidth="1"/>
    <col min="1033" max="1271" width="9.140625" style="224"/>
    <col min="1272" max="1272" width="29.140625" style="224" customWidth="1"/>
    <col min="1273" max="1273" width="56.42578125" style="224" customWidth="1"/>
    <col min="1274" max="1274" width="12.28515625" style="224" customWidth="1"/>
    <col min="1275" max="1275" width="13" style="224" customWidth="1"/>
    <col min="1276" max="1277" width="17.85546875" style="224" customWidth="1"/>
    <col min="1278" max="1284" width="0" style="224" hidden="1" customWidth="1"/>
    <col min="1285" max="1286" width="9.140625" style="224"/>
    <col min="1287" max="1287" width="11.28515625" style="224" bestFit="1" customWidth="1"/>
    <col min="1288" max="1288" width="12.28515625" style="224" bestFit="1" customWidth="1"/>
    <col min="1289" max="1527" width="9.140625" style="224"/>
    <col min="1528" max="1528" width="29.140625" style="224" customWidth="1"/>
    <col min="1529" max="1529" width="56.42578125" style="224" customWidth="1"/>
    <col min="1530" max="1530" width="12.28515625" style="224" customWidth="1"/>
    <col min="1531" max="1531" width="13" style="224" customWidth="1"/>
    <col min="1532" max="1533" width="17.85546875" style="224" customWidth="1"/>
    <col min="1534" max="1540" width="0" style="224" hidden="1" customWidth="1"/>
    <col min="1541" max="1542" width="9.140625" style="224"/>
    <col min="1543" max="1543" width="11.28515625" style="224" bestFit="1" customWidth="1"/>
    <col min="1544" max="1544" width="12.28515625" style="224" bestFit="1" customWidth="1"/>
    <col min="1545" max="1783" width="9.140625" style="224"/>
    <col min="1784" max="1784" width="29.140625" style="224" customWidth="1"/>
    <col min="1785" max="1785" width="56.42578125" style="224" customWidth="1"/>
    <col min="1786" max="1786" width="12.28515625" style="224" customWidth="1"/>
    <col min="1787" max="1787" width="13" style="224" customWidth="1"/>
    <col min="1788" max="1789" width="17.85546875" style="224" customWidth="1"/>
    <col min="1790" max="1796" width="0" style="224" hidden="1" customWidth="1"/>
    <col min="1797" max="1798" width="9.140625" style="224"/>
    <col min="1799" max="1799" width="11.28515625" style="224" bestFit="1" customWidth="1"/>
    <col min="1800" max="1800" width="12.28515625" style="224" bestFit="1" customWidth="1"/>
    <col min="1801" max="2039" width="9.140625" style="224"/>
    <col min="2040" max="2040" width="29.140625" style="224" customWidth="1"/>
    <col min="2041" max="2041" width="56.42578125" style="224" customWidth="1"/>
    <col min="2042" max="2042" width="12.28515625" style="224" customWidth="1"/>
    <col min="2043" max="2043" width="13" style="224" customWidth="1"/>
    <col min="2044" max="2045" width="17.85546875" style="224" customWidth="1"/>
    <col min="2046" max="2052" width="0" style="224" hidden="1" customWidth="1"/>
    <col min="2053" max="2054" width="9.140625" style="224"/>
    <col min="2055" max="2055" width="11.28515625" style="224" bestFit="1" customWidth="1"/>
    <col min="2056" max="2056" width="12.28515625" style="224" bestFit="1" customWidth="1"/>
    <col min="2057" max="2295" width="9.140625" style="224"/>
    <col min="2296" max="2296" width="29.140625" style="224" customWidth="1"/>
    <col min="2297" max="2297" width="56.42578125" style="224" customWidth="1"/>
    <col min="2298" max="2298" width="12.28515625" style="224" customWidth="1"/>
    <col min="2299" max="2299" width="13" style="224" customWidth="1"/>
    <col min="2300" max="2301" width="17.85546875" style="224" customWidth="1"/>
    <col min="2302" max="2308" width="0" style="224" hidden="1" customWidth="1"/>
    <col min="2309" max="2310" width="9.140625" style="224"/>
    <col min="2311" max="2311" width="11.28515625" style="224" bestFit="1" customWidth="1"/>
    <col min="2312" max="2312" width="12.28515625" style="224" bestFit="1" customWidth="1"/>
    <col min="2313" max="2551" width="9.140625" style="224"/>
    <col min="2552" max="2552" width="29.140625" style="224" customWidth="1"/>
    <col min="2553" max="2553" width="56.42578125" style="224" customWidth="1"/>
    <col min="2554" max="2554" width="12.28515625" style="224" customWidth="1"/>
    <col min="2555" max="2555" width="13" style="224" customWidth="1"/>
    <col min="2556" max="2557" width="17.85546875" style="224" customWidth="1"/>
    <col min="2558" max="2564" width="0" style="224" hidden="1" customWidth="1"/>
    <col min="2565" max="2566" width="9.140625" style="224"/>
    <col min="2567" max="2567" width="11.28515625" style="224" bestFit="1" customWidth="1"/>
    <col min="2568" max="2568" width="12.28515625" style="224" bestFit="1" customWidth="1"/>
    <col min="2569" max="2807" width="9.140625" style="224"/>
    <col min="2808" max="2808" width="29.140625" style="224" customWidth="1"/>
    <col min="2809" max="2809" width="56.42578125" style="224" customWidth="1"/>
    <col min="2810" max="2810" width="12.28515625" style="224" customWidth="1"/>
    <col min="2811" max="2811" width="13" style="224" customWidth="1"/>
    <col min="2812" max="2813" width="17.85546875" style="224" customWidth="1"/>
    <col min="2814" max="2820" width="0" style="224" hidden="1" customWidth="1"/>
    <col min="2821" max="2822" width="9.140625" style="224"/>
    <col min="2823" max="2823" width="11.28515625" style="224" bestFit="1" customWidth="1"/>
    <col min="2824" max="2824" width="12.28515625" style="224" bestFit="1" customWidth="1"/>
    <col min="2825" max="3063" width="9.140625" style="224"/>
    <col min="3064" max="3064" width="29.140625" style="224" customWidth="1"/>
    <col min="3065" max="3065" width="56.42578125" style="224" customWidth="1"/>
    <col min="3066" max="3066" width="12.28515625" style="224" customWidth="1"/>
    <col min="3067" max="3067" width="13" style="224" customWidth="1"/>
    <col min="3068" max="3069" width="17.85546875" style="224" customWidth="1"/>
    <col min="3070" max="3076" width="0" style="224" hidden="1" customWidth="1"/>
    <col min="3077" max="3078" width="9.140625" style="224"/>
    <col min="3079" max="3079" width="11.28515625" style="224" bestFit="1" customWidth="1"/>
    <col min="3080" max="3080" width="12.28515625" style="224" bestFit="1" customWidth="1"/>
    <col min="3081" max="3319" width="9.140625" style="224"/>
    <col min="3320" max="3320" width="29.140625" style="224" customWidth="1"/>
    <col min="3321" max="3321" width="56.42578125" style="224" customWidth="1"/>
    <col min="3322" max="3322" width="12.28515625" style="224" customWidth="1"/>
    <col min="3323" max="3323" width="13" style="224" customWidth="1"/>
    <col min="3324" max="3325" width="17.85546875" style="224" customWidth="1"/>
    <col min="3326" max="3332" width="0" style="224" hidden="1" customWidth="1"/>
    <col min="3333" max="3334" width="9.140625" style="224"/>
    <col min="3335" max="3335" width="11.28515625" style="224" bestFit="1" customWidth="1"/>
    <col min="3336" max="3336" width="12.28515625" style="224" bestFit="1" customWidth="1"/>
    <col min="3337" max="3575" width="9.140625" style="224"/>
    <col min="3576" max="3576" width="29.140625" style="224" customWidth="1"/>
    <col min="3577" max="3577" width="56.42578125" style="224" customWidth="1"/>
    <col min="3578" max="3578" width="12.28515625" style="224" customWidth="1"/>
    <col min="3579" max="3579" width="13" style="224" customWidth="1"/>
    <col min="3580" max="3581" width="17.85546875" style="224" customWidth="1"/>
    <col min="3582" max="3588" width="0" style="224" hidden="1" customWidth="1"/>
    <col min="3589" max="3590" width="9.140625" style="224"/>
    <col min="3591" max="3591" width="11.28515625" style="224" bestFit="1" customWidth="1"/>
    <col min="3592" max="3592" width="12.28515625" style="224" bestFit="1" customWidth="1"/>
    <col min="3593" max="3831" width="9.140625" style="224"/>
    <col min="3832" max="3832" width="29.140625" style="224" customWidth="1"/>
    <col min="3833" max="3833" width="56.42578125" style="224" customWidth="1"/>
    <col min="3834" max="3834" width="12.28515625" style="224" customWidth="1"/>
    <col min="3835" max="3835" width="13" style="224" customWidth="1"/>
    <col min="3836" max="3837" width="17.85546875" style="224" customWidth="1"/>
    <col min="3838" max="3844" width="0" style="224" hidden="1" customWidth="1"/>
    <col min="3845" max="3846" width="9.140625" style="224"/>
    <col min="3847" max="3847" width="11.28515625" style="224" bestFit="1" customWidth="1"/>
    <col min="3848" max="3848" width="12.28515625" style="224" bestFit="1" customWidth="1"/>
    <col min="3849" max="4087" width="9.140625" style="224"/>
    <col min="4088" max="4088" width="29.140625" style="224" customWidth="1"/>
    <col min="4089" max="4089" width="56.42578125" style="224" customWidth="1"/>
    <col min="4090" max="4090" width="12.28515625" style="224" customWidth="1"/>
    <col min="4091" max="4091" width="13" style="224" customWidth="1"/>
    <col min="4092" max="4093" width="17.85546875" style="224" customWidth="1"/>
    <col min="4094" max="4100" width="0" style="224" hidden="1" customWidth="1"/>
    <col min="4101" max="4102" width="9.140625" style="224"/>
    <col min="4103" max="4103" width="11.28515625" style="224" bestFit="1" customWidth="1"/>
    <col min="4104" max="4104" width="12.28515625" style="224" bestFit="1" customWidth="1"/>
    <col min="4105" max="4343" width="9.140625" style="224"/>
    <col min="4344" max="4344" width="29.140625" style="224" customWidth="1"/>
    <col min="4345" max="4345" width="56.42578125" style="224" customWidth="1"/>
    <col min="4346" max="4346" width="12.28515625" style="224" customWidth="1"/>
    <col min="4347" max="4347" width="13" style="224" customWidth="1"/>
    <col min="4348" max="4349" width="17.85546875" style="224" customWidth="1"/>
    <col min="4350" max="4356" width="0" style="224" hidden="1" customWidth="1"/>
    <col min="4357" max="4358" width="9.140625" style="224"/>
    <col min="4359" max="4359" width="11.28515625" style="224" bestFit="1" customWidth="1"/>
    <col min="4360" max="4360" width="12.28515625" style="224" bestFit="1" customWidth="1"/>
    <col min="4361" max="4599" width="9.140625" style="224"/>
    <col min="4600" max="4600" width="29.140625" style="224" customWidth="1"/>
    <col min="4601" max="4601" width="56.42578125" style="224" customWidth="1"/>
    <col min="4602" max="4602" width="12.28515625" style="224" customWidth="1"/>
    <col min="4603" max="4603" width="13" style="224" customWidth="1"/>
    <col min="4604" max="4605" width="17.85546875" style="224" customWidth="1"/>
    <col min="4606" max="4612" width="0" style="224" hidden="1" customWidth="1"/>
    <col min="4613" max="4614" width="9.140625" style="224"/>
    <col min="4615" max="4615" width="11.28515625" style="224" bestFit="1" customWidth="1"/>
    <col min="4616" max="4616" width="12.28515625" style="224" bestFit="1" customWidth="1"/>
    <col min="4617" max="4855" width="9.140625" style="224"/>
    <col min="4856" max="4856" width="29.140625" style="224" customWidth="1"/>
    <col min="4857" max="4857" width="56.42578125" style="224" customWidth="1"/>
    <col min="4858" max="4858" width="12.28515625" style="224" customWidth="1"/>
    <col min="4859" max="4859" width="13" style="224" customWidth="1"/>
    <col min="4860" max="4861" width="17.85546875" style="224" customWidth="1"/>
    <col min="4862" max="4868" width="0" style="224" hidden="1" customWidth="1"/>
    <col min="4869" max="4870" width="9.140625" style="224"/>
    <col min="4871" max="4871" width="11.28515625" style="224" bestFit="1" customWidth="1"/>
    <col min="4872" max="4872" width="12.28515625" style="224" bestFit="1" customWidth="1"/>
    <col min="4873" max="5111" width="9.140625" style="224"/>
    <col min="5112" max="5112" width="29.140625" style="224" customWidth="1"/>
    <col min="5113" max="5113" width="56.42578125" style="224" customWidth="1"/>
    <col min="5114" max="5114" width="12.28515625" style="224" customWidth="1"/>
    <col min="5115" max="5115" width="13" style="224" customWidth="1"/>
    <col min="5116" max="5117" width="17.85546875" style="224" customWidth="1"/>
    <col min="5118" max="5124" width="0" style="224" hidden="1" customWidth="1"/>
    <col min="5125" max="5126" width="9.140625" style="224"/>
    <col min="5127" max="5127" width="11.28515625" style="224" bestFit="1" customWidth="1"/>
    <col min="5128" max="5128" width="12.28515625" style="224" bestFit="1" customWidth="1"/>
    <col min="5129" max="5367" width="9.140625" style="224"/>
    <col min="5368" max="5368" width="29.140625" style="224" customWidth="1"/>
    <col min="5369" max="5369" width="56.42578125" style="224" customWidth="1"/>
    <col min="5370" max="5370" width="12.28515625" style="224" customWidth="1"/>
    <col min="5371" max="5371" width="13" style="224" customWidth="1"/>
    <col min="5372" max="5373" width="17.85546875" style="224" customWidth="1"/>
    <col min="5374" max="5380" width="0" style="224" hidden="1" customWidth="1"/>
    <col min="5381" max="5382" width="9.140625" style="224"/>
    <col min="5383" max="5383" width="11.28515625" style="224" bestFit="1" customWidth="1"/>
    <col min="5384" max="5384" width="12.28515625" style="224" bestFit="1" customWidth="1"/>
    <col min="5385" max="5623" width="9.140625" style="224"/>
    <col min="5624" max="5624" width="29.140625" style="224" customWidth="1"/>
    <col min="5625" max="5625" width="56.42578125" style="224" customWidth="1"/>
    <col min="5626" max="5626" width="12.28515625" style="224" customWidth="1"/>
    <col min="5627" max="5627" width="13" style="224" customWidth="1"/>
    <col min="5628" max="5629" width="17.85546875" style="224" customWidth="1"/>
    <col min="5630" max="5636" width="0" style="224" hidden="1" customWidth="1"/>
    <col min="5637" max="5638" width="9.140625" style="224"/>
    <col min="5639" max="5639" width="11.28515625" style="224" bestFit="1" customWidth="1"/>
    <col min="5640" max="5640" width="12.28515625" style="224" bestFit="1" customWidth="1"/>
    <col min="5641" max="5879" width="9.140625" style="224"/>
    <col min="5880" max="5880" width="29.140625" style="224" customWidth="1"/>
    <col min="5881" max="5881" width="56.42578125" style="224" customWidth="1"/>
    <col min="5882" max="5882" width="12.28515625" style="224" customWidth="1"/>
    <col min="5883" max="5883" width="13" style="224" customWidth="1"/>
    <col min="5884" max="5885" width="17.85546875" style="224" customWidth="1"/>
    <col min="5886" max="5892" width="0" style="224" hidden="1" customWidth="1"/>
    <col min="5893" max="5894" width="9.140625" style="224"/>
    <col min="5895" max="5895" width="11.28515625" style="224" bestFit="1" customWidth="1"/>
    <col min="5896" max="5896" width="12.28515625" style="224" bestFit="1" customWidth="1"/>
    <col min="5897" max="6135" width="9.140625" style="224"/>
    <col min="6136" max="6136" width="29.140625" style="224" customWidth="1"/>
    <col min="6137" max="6137" width="56.42578125" style="224" customWidth="1"/>
    <col min="6138" max="6138" width="12.28515625" style="224" customWidth="1"/>
    <col min="6139" max="6139" width="13" style="224" customWidth="1"/>
    <col min="6140" max="6141" width="17.85546875" style="224" customWidth="1"/>
    <col min="6142" max="6148" width="0" style="224" hidden="1" customWidth="1"/>
    <col min="6149" max="6150" width="9.140625" style="224"/>
    <col min="6151" max="6151" width="11.28515625" style="224" bestFit="1" customWidth="1"/>
    <col min="6152" max="6152" width="12.28515625" style="224" bestFit="1" customWidth="1"/>
    <col min="6153" max="6391" width="9.140625" style="224"/>
    <col min="6392" max="6392" width="29.140625" style="224" customWidth="1"/>
    <col min="6393" max="6393" width="56.42578125" style="224" customWidth="1"/>
    <col min="6394" max="6394" width="12.28515625" style="224" customWidth="1"/>
    <col min="6395" max="6395" width="13" style="224" customWidth="1"/>
    <col min="6396" max="6397" width="17.85546875" style="224" customWidth="1"/>
    <col min="6398" max="6404" width="0" style="224" hidden="1" customWidth="1"/>
    <col min="6405" max="6406" width="9.140625" style="224"/>
    <col min="6407" max="6407" width="11.28515625" style="224" bestFit="1" customWidth="1"/>
    <col min="6408" max="6408" width="12.28515625" style="224" bestFit="1" customWidth="1"/>
    <col min="6409" max="6647" width="9.140625" style="224"/>
    <col min="6648" max="6648" width="29.140625" style="224" customWidth="1"/>
    <col min="6649" max="6649" width="56.42578125" style="224" customWidth="1"/>
    <col min="6650" max="6650" width="12.28515625" style="224" customWidth="1"/>
    <col min="6651" max="6651" width="13" style="224" customWidth="1"/>
    <col min="6652" max="6653" width="17.85546875" style="224" customWidth="1"/>
    <col min="6654" max="6660" width="0" style="224" hidden="1" customWidth="1"/>
    <col min="6661" max="6662" width="9.140625" style="224"/>
    <col min="6663" max="6663" width="11.28515625" style="224" bestFit="1" customWidth="1"/>
    <col min="6664" max="6664" width="12.28515625" style="224" bestFit="1" customWidth="1"/>
    <col min="6665" max="6903" width="9.140625" style="224"/>
    <col min="6904" max="6904" width="29.140625" style="224" customWidth="1"/>
    <col min="6905" max="6905" width="56.42578125" style="224" customWidth="1"/>
    <col min="6906" max="6906" width="12.28515625" style="224" customWidth="1"/>
    <col min="6907" max="6907" width="13" style="224" customWidth="1"/>
    <col min="6908" max="6909" width="17.85546875" style="224" customWidth="1"/>
    <col min="6910" max="6916" width="0" style="224" hidden="1" customWidth="1"/>
    <col min="6917" max="6918" width="9.140625" style="224"/>
    <col min="6919" max="6919" width="11.28515625" style="224" bestFit="1" customWidth="1"/>
    <col min="6920" max="6920" width="12.28515625" style="224" bestFit="1" customWidth="1"/>
    <col min="6921" max="7159" width="9.140625" style="224"/>
    <col min="7160" max="7160" width="29.140625" style="224" customWidth="1"/>
    <col min="7161" max="7161" width="56.42578125" style="224" customWidth="1"/>
    <col min="7162" max="7162" width="12.28515625" style="224" customWidth="1"/>
    <col min="7163" max="7163" width="13" style="224" customWidth="1"/>
    <col min="7164" max="7165" width="17.85546875" style="224" customWidth="1"/>
    <col min="7166" max="7172" width="0" style="224" hidden="1" customWidth="1"/>
    <col min="7173" max="7174" width="9.140625" style="224"/>
    <col min="7175" max="7175" width="11.28515625" style="224" bestFit="1" customWidth="1"/>
    <col min="7176" max="7176" width="12.28515625" style="224" bestFit="1" customWidth="1"/>
    <col min="7177" max="7415" width="9.140625" style="224"/>
    <col min="7416" max="7416" width="29.140625" style="224" customWidth="1"/>
    <col min="7417" max="7417" width="56.42578125" style="224" customWidth="1"/>
    <col min="7418" max="7418" width="12.28515625" style="224" customWidth="1"/>
    <col min="7419" max="7419" width="13" style="224" customWidth="1"/>
    <col min="7420" max="7421" width="17.85546875" style="224" customWidth="1"/>
    <col min="7422" max="7428" width="0" style="224" hidden="1" customWidth="1"/>
    <col min="7429" max="7430" width="9.140625" style="224"/>
    <col min="7431" max="7431" width="11.28515625" style="224" bestFit="1" customWidth="1"/>
    <col min="7432" max="7432" width="12.28515625" style="224" bestFit="1" customWidth="1"/>
    <col min="7433" max="7671" width="9.140625" style="224"/>
    <col min="7672" max="7672" width="29.140625" style="224" customWidth="1"/>
    <col min="7673" max="7673" width="56.42578125" style="224" customWidth="1"/>
    <col min="7674" max="7674" width="12.28515625" style="224" customWidth="1"/>
    <col min="7675" max="7675" width="13" style="224" customWidth="1"/>
    <col min="7676" max="7677" width="17.85546875" style="224" customWidth="1"/>
    <col min="7678" max="7684" width="0" style="224" hidden="1" customWidth="1"/>
    <col min="7685" max="7686" width="9.140625" style="224"/>
    <col min="7687" max="7687" width="11.28515625" style="224" bestFit="1" customWidth="1"/>
    <col min="7688" max="7688" width="12.28515625" style="224" bestFit="1" customWidth="1"/>
    <col min="7689" max="7927" width="9.140625" style="224"/>
    <col min="7928" max="7928" width="29.140625" style="224" customWidth="1"/>
    <col min="7929" max="7929" width="56.42578125" style="224" customWidth="1"/>
    <col min="7930" max="7930" width="12.28515625" style="224" customWidth="1"/>
    <col min="7931" max="7931" width="13" style="224" customWidth="1"/>
    <col min="7932" max="7933" width="17.85546875" style="224" customWidth="1"/>
    <col min="7934" max="7940" width="0" style="224" hidden="1" customWidth="1"/>
    <col min="7941" max="7942" width="9.140625" style="224"/>
    <col min="7943" max="7943" width="11.28515625" style="224" bestFit="1" customWidth="1"/>
    <col min="7944" max="7944" width="12.28515625" style="224" bestFit="1" customWidth="1"/>
    <col min="7945" max="8183" width="9.140625" style="224"/>
    <col min="8184" max="8184" width="29.140625" style="224" customWidth="1"/>
    <col min="8185" max="8185" width="56.42578125" style="224" customWidth="1"/>
    <col min="8186" max="8186" width="12.28515625" style="224" customWidth="1"/>
    <col min="8187" max="8187" width="13" style="224" customWidth="1"/>
    <col min="8188" max="8189" width="17.85546875" style="224" customWidth="1"/>
    <col min="8190" max="8196" width="0" style="224" hidden="1" customWidth="1"/>
    <col min="8197" max="8198" width="9.140625" style="224"/>
    <col min="8199" max="8199" width="11.28515625" style="224" bestFit="1" customWidth="1"/>
    <col min="8200" max="8200" width="12.28515625" style="224" bestFit="1" customWidth="1"/>
    <col min="8201" max="8439" width="9.140625" style="224"/>
    <col min="8440" max="8440" width="29.140625" style="224" customWidth="1"/>
    <col min="8441" max="8441" width="56.42578125" style="224" customWidth="1"/>
    <col min="8442" max="8442" width="12.28515625" style="224" customWidth="1"/>
    <col min="8443" max="8443" width="13" style="224" customWidth="1"/>
    <col min="8444" max="8445" width="17.85546875" style="224" customWidth="1"/>
    <col min="8446" max="8452" width="0" style="224" hidden="1" customWidth="1"/>
    <col min="8453" max="8454" width="9.140625" style="224"/>
    <col min="8455" max="8455" width="11.28515625" style="224" bestFit="1" customWidth="1"/>
    <col min="8456" max="8456" width="12.28515625" style="224" bestFit="1" customWidth="1"/>
    <col min="8457" max="8695" width="9.140625" style="224"/>
    <col min="8696" max="8696" width="29.140625" style="224" customWidth="1"/>
    <col min="8697" max="8697" width="56.42578125" style="224" customWidth="1"/>
    <col min="8698" max="8698" width="12.28515625" style="224" customWidth="1"/>
    <col min="8699" max="8699" width="13" style="224" customWidth="1"/>
    <col min="8700" max="8701" width="17.85546875" style="224" customWidth="1"/>
    <col min="8702" max="8708" width="0" style="224" hidden="1" customWidth="1"/>
    <col min="8709" max="8710" width="9.140625" style="224"/>
    <col min="8711" max="8711" width="11.28515625" style="224" bestFit="1" customWidth="1"/>
    <col min="8712" max="8712" width="12.28515625" style="224" bestFit="1" customWidth="1"/>
    <col min="8713" max="8951" width="9.140625" style="224"/>
    <col min="8952" max="8952" width="29.140625" style="224" customWidth="1"/>
    <col min="8953" max="8953" width="56.42578125" style="224" customWidth="1"/>
    <col min="8954" max="8954" width="12.28515625" style="224" customWidth="1"/>
    <col min="8955" max="8955" width="13" style="224" customWidth="1"/>
    <col min="8956" max="8957" width="17.85546875" style="224" customWidth="1"/>
    <col min="8958" max="8964" width="0" style="224" hidden="1" customWidth="1"/>
    <col min="8965" max="8966" width="9.140625" style="224"/>
    <col min="8967" max="8967" width="11.28515625" style="224" bestFit="1" customWidth="1"/>
    <col min="8968" max="8968" width="12.28515625" style="224" bestFit="1" customWidth="1"/>
    <col min="8969" max="9207" width="9.140625" style="224"/>
    <col min="9208" max="9208" width="29.140625" style="224" customWidth="1"/>
    <col min="9209" max="9209" width="56.42578125" style="224" customWidth="1"/>
    <col min="9210" max="9210" width="12.28515625" style="224" customWidth="1"/>
    <col min="9211" max="9211" width="13" style="224" customWidth="1"/>
    <col min="9212" max="9213" width="17.85546875" style="224" customWidth="1"/>
    <col min="9214" max="9220" width="0" style="224" hidden="1" customWidth="1"/>
    <col min="9221" max="9222" width="9.140625" style="224"/>
    <col min="9223" max="9223" width="11.28515625" style="224" bestFit="1" customWidth="1"/>
    <col min="9224" max="9224" width="12.28515625" style="224" bestFit="1" customWidth="1"/>
    <col min="9225" max="9463" width="9.140625" style="224"/>
    <col min="9464" max="9464" width="29.140625" style="224" customWidth="1"/>
    <col min="9465" max="9465" width="56.42578125" style="224" customWidth="1"/>
    <col min="9466" max="9466" width="12.28515625" style="224" customWidth="1"/>
    <col min="9467" max="9467" width="13" style="224" customWidth="1"/>
    <col min="9468" max="9469" width="17.85546875" style="224" customWidth="1"/>
    <col min="9470" max="9476" width="0" style="224" hidden="1" customWidth="1"/>
    <col min="9477" max="9478" width="9.140625" style="224"/>
    <col min="9479" max="9479" width="11.28515625" style="224" bestFit="1" customWidth="1"/>
    <col min="9480" max="9480" width="12.28515625" style="224" bestFit="1" customWidth="1"/>
    <col min="9481" max="9719" width="9.140625" style="224"/>
    <col min="9720" max="9720" width="29.140625" style="224" customWidth="1"/>
    <col min="9721" max="9721" width="56.42578125" style="224" customWidth="1"/>
    <col min="9722" max="9722" width="12.28515625" style="224" customWidth="1"/>
    <col min="9723" max="9723" width="13" style="224" customWidth="1"/>
    <col min="9724" max="9725" width="17.85546875" style="224" customWidth="1"/>
    <col min="9726" max="9732" width="0" style="224" hidden="1" customWidth="1"/>
    <col min="9733" max="9734" width="9.140625" style="224"/>
    <col min="9735" max="9735" width="11.28515625" style="224" bestFit="1" customWidth="1"/>
    <col min="9736" max="9736" width="12.28515625" style="224" bestFit="1" customWidth="1"/>
    <col min="9737" max="9975" width="9.140625" style="224"/>
    <col min="9976" max="9976" width="29.140625" style="224" customWidth="1"/>
    <col min="9977" max="9977" width="56.42578125" style="224" customWidth="1"/>
    <col min="9978" max="9978" width="12.28515625" style="224" customWidth="1"/>
    <col min="9979" max="9979" width="13" style="224" customWidth="1"/>
    <col min="9980" max="9981" width="17.85546875" style="224" customWidth="1"/>
    <col min="9982" max="9988" width="0" style="224" hidden="1" customWidth="1"/>
    <col min="9989" max="9990" width="9.140625" style="224"/>
    <col min="9991" max="9991" width="11.28515625" style="224" bestFit="1" customWidth="1"/>
    <col min="9992" max="9992" width="12.28515625" style="224" bestFit="1" customWidth="1"/>
    <col min="9993" max="10231" width="9.140625" style="224"/>
    <col min="10232" max="10232" width="29.140625" style="224" customWidth="1"/>
    <col min="10233" max="10233" width="56.42578125" style="224" customWidth="1"/>
    <col min="10234" max="10234" width="12.28515625" style="224" customWidth="1"/>
    <col min="10235" max="10235" width="13" style="224" customWidth="1"/>
    <col min="10236" max="10237" width="17.85546875" style="224" customWidth="1"/>
    <col min="10238" max="10244" width="0" style="224" hidden="1" customWidth="1"/>
    <col min="10245" max="10246" width="9.140625" style="224"/>
    <col min="10247" max="10247" width="11.28515625" style="224" bestFit="1" customWidth="1"/>
    <col min="10248" max="10248" width="12.28515625" style="224" bestFit="1" customWidth="1"/>
    <col min="10249" max="10487" width="9.140625" style="224"/>
    <col min="10488" max="10488" width="29.140625" style="224" customWidth="1"/>
    <col min="10489" max="10489" width="56.42578125" style="224" customWidth="1"/>
    <col min="10490" max="10490" width="12.28515625" style="224" customWidth="1"/>
    <col min="10491" max="10491" width="13" style="224" customWidth="1"/>
    <col min="10492" max="10493" width="17.85546875" style="224" customWidth="1"/>
    <col min="10494" max="10500" width="0" style="224" hidden="1" customWidth="1"/>
    <col min="10501" max="10502" width="9.140625" style="224"/>
    <col min="10503" max="10503" width="11.28515625" style="224" bestFit="1" customWidth="1"/>
    <col min="10504" max="10504" width="12.28515625" style="224" bestFit="1" customWidth="1"/>
    <col min="10505" max="10743" width="9.140625" style="224"/>
    <col min="10744" max="10744" width="29.140625" style="224" customWidth="1"/>
    <col min="10745" max="10745" width="56.42578125" style="224" customWidth="1"/>
    <col min="10746" max="10746" width="12.28515625" style="224" customWidth="1"/>
    <col min="10747" max="10747" width="13" style="224" customWidth="1"/>
    <col min="10748" max="10749" width="17.85546875" style="224" customWidth="1"/>
    <col min="10750" max="10756" width="0" style="224" hidden="1" customWidth="1"/>
    <col min="10757" max="10758" width="9.140625" style="224"/>
    <col min="10759" max="10759" width="11.28515625" style="224" bestFit="1" customWidth="1"/>
    <col min="10760" max="10760" width="12.28515625" style="224" bestFit="1" customWidth="1"/>
    <col min="10761" max="10999" width="9.140625" style="224"/>
    <col min="11000" max="11000" width="29.140625" style="224" customWidth="1"/>
    <col min="11001" max="11001" width="56.42578125" style="224" customWidth="1"/>
    <col min="11002" max="11002" width="12.28515625" style="224" customWidth="1"/>
    <col min="11003" max="11003" width="13" style="224" customWidth="1"/>
    <col min="11004" max="11005" width="17.85546875" style="224" customWidth="1"/>
    <col min="11006" max="11012" width="0" style="224" hidden="1" customWidth="1"/>
    <col min="11013" max="11014" width="9.140625" style="224"/>
    <col min="11015" max="11015" width="11.28515625" style="224" bestFit="1" customWidth="1"/>
    <col min="11016" max="11016" width="12.28515625" style="224" bestFit="1" customWidth="1"/>
    <col min="11017" max="11255" width="9.140625" style="224"/>
    <col min="11256" max="11256" width="29.140625" style="224" customWidth="1"/>
    <col min="11257" max="11257" width="56.42578125" style="224" customWidth="1"/>
    <col min="11258" max="11258" width="12.28515625" style="224" customWidth="1"/>
    <col min="11259" max="11259" width="13" style="224" customWidth="1"/>
    <col min="11260" max="11261" width="17.85546875" style="224" customWidth="1"/>
    <col min="11262" max="11268" width="0" style="224" hidden="1" customWidth="1"/>
    <col min="11269" max="11270" width="9.140625" style="224"/>
    <col min="11271" max="11271" width="11.28515625" style="224" bestFit="1" customWidth="1"/>
    <col min="11272" max="11272" width="12.28515625" style="224" bestFit="1" customWidth="1"/>
    <col min="11273" max="11511" width="9.140625" style="224"/>
    <col min="11512" max="11512" width="29.140625" style="224" customWidth="1"/>
    <col min="11513" max="11513" width="56.42578125" style="224" customWidth="1"/>
    <col min="11514" max="11514" width="12.28515625" style="224" customWidth="1"/>
    <col min="11515" max="11515" width="13" style="224" customWidth="1"/>
    <col min="11516" max="11517" width="17.85546875" style="224" customWidth="1"/>
    <col min="11518" max="11524" width="0" style="224" hidden="1" customWidth="1"/>
    <col min="11525" max="11526" width="9.140625" style="224"/>
    <col min="11527" max="11527" width="11.28515625" style="224" bestFit="1" customWidth="1"/>
    <col min="11528" max="11528" width="12.28515625" style="224" bestFit="1" customWidth="1"/>
    <col min="11529" max="11767" width="9.140625" style="224"/>
    <col min="11768" max="11768" width="29.140625" style="224" customWidth="1"/>
    <col min="11769" max="11769" width="56.42578125" style="224" customWidth="1"/>
    <col min="11770" max="11770" width="12.28515625" style="224" customWidth="1"/>
    <col min="11771" max="11771" width="13" style="224" customWidth="1"/>
    <col min="11772" max="11773" width="17.85546875" style="224" customWidth="1"/>
    <col min="11774" max="11780" width="0" style="224" hidden="1" customWidth="1"/>
    <col min="11781" max="11782" width="9.140625" style="224"/>
    <col min="11783" max="11783" width="11.28515625" style="224" bestFit="1" customWidth="1"/>
    <col min="11784" max="11784" width="12.28515625" style="224" bestFit="1" customWidth="1"/>
    <col min="11785" max="12023" width="9.140625" style="224"/>
    <col min="12024" max="12024" width="29.140625" style="224" customWidth="1"/>
    <col min="12025" max="12025" width="56.42578125" style="224" customWidth="1"/>
    <col min="12026" max="12026" width="12.28515625" style="224" customWidth="1"/>
    <col min="12027" max="12027" width="13" style="224" customWidth="1"/>
    <col min="12028" max="12029" width="17.85546875" style="224" customWidth="1"/>
    <col min="12030" max="12036" width="0" style="224" hidden="1" customWidth="1"/>
    <col min="12037" max="12038" width="9.140625" style="224"/>
    <col min="12039" max="12039" width="11.28515625" style="224" bestFit="1" customWidth="1"/>
    <col min="12040" max="12040" width="12.28515625" style="224" bestFit="1" customWidth="1"/>
    <col min="12041" max="12279" width="9.140625" style="224"/>
    <col min="12280" max="12280" width="29.140625" style="224" customWidth="1"/>
    <col min="12281" max="12281" width="56.42578125" style="224" customWidth="1"/>
    <col min="12282" max="12282" width="12.28515625" style="224" customWidth="1"/>
    <col min="12283" max="12283" width="13" style="224" customWidth="1"/>
    <col min="12284" max="12285" width="17.85546875" style="224" customWidth="1"/>
    <col min="12286" max="12292" width="0" style="224" hidden="1" customWidth="1"/>
    <col min="12293" max="12294" width="9.140625" style="224"/>
    <col min="12295" max="12295" width="11.28515625" style="224" bestFit="1" customWidth="1"/>
    <col min="12296" max="12296" width="12.28515625" style="224" bestFit="1" customWidth="1"/>
    <col min="12297" max="12535" width="9.140625" style="224"/>
    <col min="12536" max="12536" width="29.140625" style="224" customWidth="1"/>
    <col min="12537" max="12537" width="56.42578125" style="224" customWidth="1"/>
    <col min="12538" max="12538" width="12.28515625" style="224" customWidth="1"/>
    <col min="12539" max="12539" width="13" style="224" customWidth="1"/>
    <col min="12540" max="12541" width="17.85546875" style="224" customWidth="1"/>
    <col min="12542" max="12548" width="0" style="224" hidden="1" customWidth="1"/>
    <col min="12549" max="12550" width="9.140625" style="224"/>
    <col min="12551" max="12551" width="11.28515625" style="224" bestFit="1" customWidth="1"/>
    <col min="12552" max="12552" width="12.28515625" style="224" bestFit="1" customWidth="1"/>
    <col min="12553" max="12791" width="9.140625" style="224"/>
    <col min="12792" max="12792" width="29.140625" style="224" customWidth="1"/>
    <col min="12793" max="12793" width="56.42578125" style="224" customWidth="1"/>
    <col min="12794" max="12794" width="12.28515625" style="224" customWidth="1"/>
    <col min="12795" max="12795" width="13" style="224" customWidth="1"/>
    <col min="12796" max="12797" width="17.85546875" style="224" customWidth="1"/>
    <col min="12798" max="12804" width="0" style="224" hidden="1" customWidth="1"/>
    <col min="12805" max="12806" width="9.140625" style="224"/>
    <col min="12807" max="12807" width="11.28515625" style="224" bestFit="1" customWidth="1"/>
    <col min="12808" max="12808" width="12.28515625" style="224" bestFit="1" customWidth="1"/>
    <col min="12809" max="13047" width="9.140625" style="224"/>
    <col min="13048" max="13048" width="29.140625" style="224" customWidth="1"/>
    <col min="13049" max="13049" width="56.42578125" style="224" customWidth="1"/>
    <col min="13050" max="13050" width="12.28515625" style="224" customWidth="1"/>
    <col min="13051" max="13051" width="13" style="224" customWidth="1"/>
    <col min="13052" max="13053" width="17.85546875" style="224" customWidth="1"/>
    <col min="13054" max="13060" width="0" style="224" hidden="1" customWidth="1"/>
    <col min="13061" max="13062" width="9.140625" style="224"/>
    <col min="13063" max="13063" width="11.28515625" style="224" bestFit="1" customWidth="1"/>
    <col min="13064" max="13064" width="12.28515625" style="224" bestFit="1" customWidth="1"/>
    <col min="13065" max="13303" width="9.140625" style="224"/>
    <col min="13304" max="13304" width="29.140625" style="224" customWidth="1"/>
    <col min="13305" max="13305" width="56.42578125" style="224" customWidth="1"/>
    <col min="13306" max="13306" width="12.28515625" style="224" customWidth="1"/>
    <col min="13307" max="13307" width="13" style="224" customWidth="1"/>
    <col min="13308" max="13309" width="17.85546875" style="224" customWidth="1"/>
    <col min="13310" max="13316" width="0" style="224" hidden="1" customWidth="1"/>
    <col min="13317" max="13318" width="9.140625" style="224"/>
    <col min="13319" max="13319" width="11.28515625" style="224" bestFit="1" customWidth="1"/>
    <col min="13320" max="13320" width="12.28515625" style="224" bestFit="1" customWidth="1"/>
    <col min="13321" max="13559" width="9.140625" style="224"/>
    <col min="13560" max="13560" width="29.140625" style="224" customWidth="1"/>
    <col min="13561" max="13561" width="56.42578125" style="224" customWidth="1"/>
    <col min="13562" max="13562" width="12.28515625" style="224" customWidth="1"/>
    <col min="13563" max="13563" width="13" style="224" customWidth="1"/>
    <col min="13564" max="13565" width="17.85546875" style="224" customWidth="1"/>
    <col min="13566" max="13572" width="0" style="224" hidden="1" customWidth="1"/>
    <col min="13573" max="13574" width="9.140625" style="224"/>
    <col min="13575" max="13575" width="11.28515625" style="224" bestFit="1" customWidth="1"/>
    <col min="13576" max="13576" width="12.28515625" style="224" bestFit="1" customWidth="1"/>
    <col min="13577" max="13815" width="9.140625" style="224"/>
    <col min="13816" max="13816" width="29.140625" style="224" customWidth="1"/>
    <col min="13817" max="13817" width="56.42578125" style="224" customWidth="1"/>
    <col min="13818" max="13818" width="12.28515625" style="224" customWidth="1"/>
    <col min="13819" max="13819" width="13" style="224" customWidth="1"/>
    <col min="13820" max="13821" width="17.85546875" style="224" customWidth="1"/>
    <col min="13822" max="13828" width="0" style="224" hidden="1" customWidth="1"/>
    <col min="13829" max="13830" width="9.140625" style="224"/>
    <col min="13831" max="13831" width="11.28515625" style="224" bestFit="1" customWidth="1"/>
    <col min="13832" max="13832" width="12.28515625" style="224" bestFit="1" customWidth="1"/>
    <col min="13833" max="14071" width="9.140625" style="224"/>
    <col min="14072" max="14072" width="29.140625" style="224" customWidth="1"/>
    <col min="14073" max="14073" width="56.42578125" style="224" customWidth="1"/>
    <col min="14074" max="14074" width="12.28515625" style="224" customWidth="1"/>
    <col min="14075" max="14075" width="13" style="224" customWidth="1"/>
    <col min="14076" max="14077" width="17.85546875" style="224" customWidth="1"/>
    <col min="14078" max="14084" width="0" style="224" hidden="1" customWidth="1"/>
    <col min="14085" max="14086" width="9.140625" style="224"/>
    <col min="14087" max="14087" width="11.28515625" style="224" bestFit="1" customWidth="1"/>
    <col min="14088" max="14088" width="12.28515625" style="224" bestFit="1" customWidth="1"/>
    <col min="14089" max="14327" width="9.140625" style="224"/>
    <col min="14328" max="14328" width="29.140625" style="224" customWidth="1"/>
    <col min="14329" max="14329" width="56.42578125" style="224" customWidth="1"/>
    <col min="14330" max="14330" width="12.28515625" style="224" customWidth="1"/>
    <col min="14331" max="14331" width="13" style="224" customWidth="1"/>
    <col min="14332" max="14333" width="17.85546875" style="224" customWidth="1"/>
    <col min="14334" max="14340" width="0" style="224" hidden="1" customWidth="1"/>
    <col min="14341" max="14342" width="9.140625" style="224"/>
    <col min="14343" max="14343" width="11.28515625" style="224" bestFit="1" customWidth="1"/>
    <col min="14344" max="14344" width="12.28515625" style="224" bestFit="1" customWidth="1"/>
    <col min="14345" max="14583" width="9.140625" style="224"/>
    <col min="14584" max="14584" width="29.140625" style="224" customWidth="1"/>
    <col min="14585" max="14585" width="56.42578125" style="224" customWidth="1"/>
    <col min="14586" max="14586" width="12.28515625" style="224" customWidth="1"/>
    <col min="14587" max="14587" width="13" style="224" customWidth="1"/>
    <col min="14588" max="14589" width="17.85546875" style="224" customWidth="1"/>
    <col min="14590" max="14596" width="0" style="224" hidden="1" customWidth="1"/>
    <col min="14597" max="14598" width="9.140625" style="224"/>
    <col min="14599" max="14599" width="11.28515625" style="224" bestFit="1" customWidth="1"/>
    <col min="14600" max="14600" width="12.28515625" style="224" bestFit="1" customWidth="1"/>
    <col min="14601" max="14839" width="9.140625" style="224"/>
    <col min="14840" max="14840" width="29.140625" style="224" customWidth="1"/>
    <col min="14841" max="14841" width="56.42578125" style="224" customWidth="1"/>
    <col min="14842" max="14842" width="12.28515625" style="224" customWidth="1"/>
    <col min="14843" max="14843" width="13" style="224" customWidth="1"/>
    <col min="14844" max="14845" width="17.85546875" style="224" customWidth="1"/>
    <col min="14846" max="14852" width="0" style="224" hidden="1" customWidth="1"/>
    <col min="14853" max="14854" width="9.140625" style="224"/>
    <col min="14855" max="14855" width="11.28515625" style="224" bestFit="1" customWidth="1"/>
    <col min="14856" max="14856" width="12.28515625" style="224" bestFit="1" customWidth="1"/>
    <col min="14857" max="15095" width="9.140625" style="224"/>
    <col min="15096" max="15096" width="29.140625" style="224" customWidth="1"/>
    <col min="15097" max="15097" width="56.42578125" style="224" customWidth="1"/>
    <col min="15098" max="15098" width="12.28515625" style="224" customWidth="1"/>
    <col min="15099" max="15099" width="13" style="224" customWidth="1"/>
    <col min="15100" max="15101" width="17.85546875" style="224" customWidth="1"/>
    <col min="15102" max="15108" width="0" style="224" hidden="1" customWidth="1"/>
    <col min="15109" max="15110" width="9.140625" style="224"/>
    <col min="15111" max="15111" width="11.28515625" style="224" bestFit="1" customWidth="1"/>
    <col min="15112" max="15112" width="12.28515625" style="224" bestFit="1" customWidth="1"/>
    <col min="15113" max="15351" width="9.140625" style="224"/>
    <col min="15352" max="15352" width="29.140625" style="224" customWidth="1"/>
    <col min="15353" max="15353" width="56.42578125" style="224" customWidth="1"/>
    <col min="15354" max="15354" width="12.28515625" style="224" customWidth="1"/>
    <col min="15355" max="15355" width="13" style="224" customWidth="1"/>
    <col min="15356" max="15357" width="17.85546875" style="224" customWidth="1"/>
    <col min="15358" max="15364" width="0" style="224" hidden="1" customWidth="1"/>
    <col min="15365" max="15366" width="9.140625" style="224"/>
    <col min="15367" max="15367" width="11.28515625" style="224" bestFit="1" customWidth="1"/>
    <col min="15368" max="15368" width="12.28515625" style="224" bestFit="1" customWidth="1"/>
    <col min="15369" max="15607" width="9.140625" style="224"/>
    <col min="15608" max="15608" width="29.140625" style="224" customWidth="1"/>
    <col min="15609" max="15609" width="56.42578125" style="224" customWidth="1"/>
    <col min="15610" max="15610" width="12.28515625" style="224" customWidth="1"/>
    <col min="15611" max="15611" width="13" style="224" customWidth="1"/>
    <col min="15612" max="15613" width="17.85546875" style="224" customWidth="1"/>
    <col min="15614" max="15620" width="0" style="224" hidden="1" customWidth="1"/>
    <col min="15621" max="15622" width="9.140625" style="224"/>
    <col min="15623" max="15623" width="11.28515625" style="224" bestFit="1" customWidth="1"/>
    <col min="15624" max="15624" width="12.28515625" style="224" bestFit="1" customWidth="1"/>
    <col min="15625" max="15863" width="9.140625" style="224"/>
    <col min="15864" max="15864" width="29.140625" style="224" customWidth="1"/>
    <col min="15865" max="15865" width="56.42578125" style="224" customWidth="1"/>
    <col min="15866" max="15866" width="12.28515625" style="224" customWidth="1"/>
    <col min="15867" max="15867" width="13" style="224" customWidth="1"/>
    <col min="15868" max="15869" width="17.85546875" style="224" customWidth="1"/>
    <col min="15870" max="15876" width="0" style="224" hidden="1" customWidth="1"/>
    <col min="15877" max="15878" width="9.140625" style="224"/>
    <col min="15879" max="15879" width="11.28515625" style="224" bestFit="1" customWidth="1"/>
    <col min="15880" max="15880" width="12.28515625" style="224" bestFit="1" customWidth="1"/>
    <col min="15881" max="16119" width="9.140625" style="224"/>
    <col min="16120" max="16120" width="29.140625" style="224" customWidth="1"/>
    <col min="16121" max="16121" width="56.42578125" style="224" customWidth="1"/>
    <col min="16122" max="16122" width="12.28515625" style="224" customWidth="1"/>
    <col min="16123" max="16123" width="13" style="224" customWidth="1"/>
    <col min="16124" max="16125" width="17.85546875" style="224" customWidth="1"/>
    <col min="16126" max="16132" width="0" style="224" hidden="1" customWidth="1"/>
    <col min="16133" max="16134" width="9.140625" style="224"/>
    <col min="16135" max="16135" width="11.28515625" style="224" bestFit="1" customWidth="1"/>
    <col min="16136" max="16136" width="12.28515625" style="224" bestFit="1" customWidth="1"/>
    <col min="16137" max="16384" width="9.140625" style="224"/>
  </cols>
  <sheetData>
    <row r="5" spans="1:8" ht="23.25">
      <c r="A5" s="586" t="s">
        <v>437</v>
      </c>
      <c r="B5" s="586"/>
      <c r="C5" s="586"/>
      <c r="D5" s="586"/>
      <c r="E5" s="586"/>
      <c r="F5" s="586"/>
      <c r="G5" s="586"/>
    </row>
    <row r="6" spans="1:8">
      <c r="A6" s="267" t="s">
        <v>527</v>
      </c>
    </row>
    <row r="7" spans="1:8">
      <c r="A7" s="267" t="s">
        <v>532</v>
      </c>
    </row>
    <row r="8" spans="1:8" ht="23.25">
      <c r="A8" s="267" t="s">
        <v>530</v>
      </c>
      <c r="B8" s="482"/>
      <c r="C8" s="482"/>
      <c r="D8" s="482"/>
      <c r="E8" s="482"/>
      <c r="F8" s="482"/>
      <c r="G8" s="482"/>
    </row>
    <row r="9" spans="1:8">
      <c r="A9" s="267" t="s">
        <v>531</v>
      </c>
      <c r="B9" s="225"/>
      <c r="C9" s="225"/>
      <c r="D9" s="226"/>
      <c r="E9" s="227"/>
      <c r="F9" s="226"/>
      <c r="G9" s="227"/>
    </row>
    <row r="10" spans="1:8" ht="18.75">
      <c r="A10" s="580" t="s">
        <v>438</v>
      </c>
      <c r="B10" s="581"/>
      <c r="C10" s="581"/>
      <c r="D10" s="581"/>
      <c r="E10" s="581"/>
      <c r="F10" s="228" t="s">
        <v>439</v>
      </c>
      <c r="G10" s="229">
        <v>3568500</v>
      </c>
    </row>
    <row r="11" spans="1:8" ht="63.75">
      <c r="A11" s="230" t="s">
        <v>0</v>
      </c>
      <c r="B11" s="231" t="s">
        <v>440</v>
      </c>
      <c r="C11" s="231" t="s">
        <v>441</v>
      </c>
      <c r="D11" s="232" t="s">
        <v>442</v>
      </c>
      <c r="E11" s="232" t="s">
        <v>443</v>
      </c>
      <c r="F11" s="232" t="s">
        <v>444</v>
      </c>
      <c r="G11" s="232" t="s">
        <v>445</v>
      </c>
    </row>
    <row r="12" spans="1:8">
      <c r="A12" s="233">
        <v>1</v>
      </c>
      <c r="B12" s="234" t="s">
        <v>54</v>
      </c>
      <c r="C12" s="235"/>
      <c r="D12" s="236">
        <v>8.9200000000000002E-2</v>
      </c>
      <c r="E12" s="236">
        <f>SUM(E13:E16)</f>
        <v>1</v>
      </c>
      <c r="F12" s="237">
        <f>D12*G10</f>
        <v>318310.2</v>
      </c>
      <c r="G12" s="237"/>
    </row>
    <row r="13" spans="1:8" s="242" customFormat="1" ht="28.5">
      <c r="A13" s="238" t="s">
        <v>51</v>
      </c>
      <c r="B13" s="239" t="s">
        <v>58</v>
      </c>
      <c r="C13" s="239" t="s">
        <v>446</v>
      </c>
      <c r="D13" s="240"/>
      <c r="E13" s="240">
        <v>0.65671000000000002</v>
      </c>
      <c r="F13" s="241"/>
      <c r="G13" s="241">
        <f>E13*$F$12</f>
        <v>209037.491442</v>
      </c>
    </row>
    <row r="14" spans="1:8" s="242" customFormat="1" ht="42.75">
      <c r="A14" s="238" t="s">
        <v>52</v>
      </c>
      <c r="B14" s="244" t="s">
        <v>359</v>
      </c>
      <c r="C14" s="244" t="s">
        <v>447</v>
      </c>
      <c r="D14" s="245"/>
      <c r="E14" s="245">
        <v>4.0430000000000001E-2</v>
      </c>
      <c r="F14" s="246"/>
      <c r="G14" s="241">
        <f>E14*$F$12</f>
        <v>12869.281386000001</v>
      </c>
    </row>
    <row r="15" spans="1:8" s="242" customFormat="1">
      <c r="A15" s="238" t="s">
        <v>53</v>
      </c>
      <c r="B15" s="244" t="s">
        <v>448</v>
      </c>
      <c r="C15" s="244" t="s">
        <v>449</v>
      </c>
      <c r="D15" s="245"/>
      <c r="E15" s="245">
        <v>0.11212999999999999</v>
      </c>
      <c r="F15" s="246"/>
      <c r="G15" s="241">
        <f>E15*$F$12</f>
        <v>35692.122726000001</v>
      </c>
    </row>
    <row r="16" spans="1:8" s="242" customFormat="1" ht="15" customHeight="1">
      <c r="A16" s="238" t="s">
        <v>167</v>
      </c>
      <c r="B16" s="244" t="s">
        <v>448</v>
      </c>
      <c r="C16" s="244" t="s">
        <v>450</v>
      </c>
      <c r="D16" s="245"/>
      <c r="E16" s="245">
        <v>0.19073000000000001</v>
      </c>
      <c r="F16" s="246"/>
      <c r="G16" s="241">
        <f>E16*$F$12</f>
        <v>60711.304446000009</v>
      </c>
      <c r="H16" s="243"/>
    </row>
    <row r="17" spans="1:13">
      <c r="A17" s="233">
        <v>2</v>
      </c>
      <c r="B17" s="234" t="s">
        <v>386</v>
      </c>
      <c r="C17" s="235"/>
      <c r="D17" s="236">
        <v>0.55230000000000001</v>
      </c>
      <c r="E17" s="236">
        <f>SUM(E18:E27)</f>
        <v>1</v>
      </c>
      <c r="F17" s="237">
        <f>D17*G10</f>
        <v>1970882.55</v>
      </c>
      <c r="G17" s="237"/>
      <c r="H17" s="247"/>
      <c r="I17" s="539">
        <f>F17/40</f>
        <v>49272.063750000001</v>
      </c>
      <c r="J17" s="224">
        <v>40.61</v>
      </c>
      <c r="K17" s="539">
        <f>I17/J17</f>
        <v>1213.298787244521</v>
      </c>
    </row>
    <row r="18" spans="1:13" s="242" customFormat="1" ht="57">
      <c r="A18" s="238" t="s">
        <v>1</v>
      </c>
      <c r="B18" s="239" t="s">
        <v>179</v>
      </c>
      <c r="C18" s="239" t="s">
        <v>451</v>
      </c>
      <c r="D18" s="240"/>
      <c r="E18" s="240">
        <v>0.1003</v>
      </c>
      <c r="F18" s="241"/>
      <c r="G18" s="241">
        <f t="shared" ref="G18:G27" si="0">E18*$F$17</f>
        <v>197679.519765</v>
      </c>
      <c r="I18" s="540">
        <f>G39</f>
        <v>19607.123250000001</v>
      </c>
      <c r="J18" s="242">
        <v>13.84</v>
      </c>
      <c r="K18" s="260">
        <f>I18/J18</f>
        <v>1416.6996567919075</v>
      </c>
    </row>
    <row r="19" spans="1:13" s="242" customFormat="1" ht="42.75">
      <c r="A19" s="238" t="s">
        <v>2</v>
      </c>
      <c r="B19" s="244" t="s">
        <v>452</v>
      </c>
      <c r="C19" s="244" t="s">
        <v>453</v>
      </c>
      <c r="D19" s="245"/>
      <c r="E19" s="245">
        <v>0.2321</v>
      </c>
      <c r="F19" s="246"/>
      <c r="G19" s="241">
        <f t="shared" si="0"/>
        <v>457441.83985500003</v>
      </c>
    </row>
    <row r="20" spans="1:13" s="242" customFormat="1" ht="28.5">
      <c r="A20" s="238" t="s">
        <v>55</v>
      </c>
      <c r="B20" s="244" t="s">
        <v>387</v>
      </c>
      <c r="C20" s="244" t="s">
        <v>454</v>
      </c>
      <c r="D20" s="245"/>
      <c r="E20" s="245">
        <v>0.13589999999999999</v>
      </c>
      <c r="F20" s="246"/>
      <c r="G20" s="241">
        <f t="shared" si="0"/>
        <v>267842.93854499998</v>
      </c>
    </row>
    <row r="21" spans="1:13" s="242" customFormat="1" ht="57">
      <c r="A21" s="238" t="s">
        <v>56</v>
      </c>
      <c r="B21" s="244" t="s">
        <v>455</v>
      </c>
      <c r="C21" s="244" t="s">
        <v>456</v>
      </c>
      <c r="D21" s="245"/>
      <c r="E21" s="245">
        <v>0.19139999999999999</v>
      </c>
      <c r="F21" s="246"/>
      <c r="G21" s="241">
        <f t="shared" si="0"/>
        <v>377226.92006999999</v>
      </c>
    </row>
    <row r="22" spans="1:13" s="242" customFormat="1" ht="28.5">
      <c r="A22" s="238" t="s">
        <v>57</v>
      </c>
      <c r="B22" s="244" t="s">
        <v>388</v>
      </c>
      <c r="C22" s="244" t="s">
        <v>457</v>
      </c>
      <c r="D22" s="245"/>
      <c r="E22" s="245">
        <v>6.2799999999999995E-2</v>
      </c>
      <c r="F22" s="246"/>
      <c r="G22" s="241">
        <f t="shared" si="0"/>
        <v>123771.42413999999</v>
      </c>
    </row>
    <row r="23" spans="1:13" s="242" customFormat="1" ht="28.5">
      <c r="A23" s="238" t="s">
        <v>389</v>
      </c>
      <c r="B23" s="244" t="s">
        <v>390</v>
      </c>
      <c r="C23" s="244" t="s">
        <v>458</v>
      </c>
      <c r="D23" s="245"/>
      <c r="E23" s="245">
        <v>7.22E-2</v>
      </c>
      <c r="F23" s="246"/>
      <c r="G23" s="241">
        <f t="shared" si="0"/>
        <v>142297.72010999999</v>
      </c>
    </row>
    <row r="24" spans="1:13" s="242" customFormat="1" ht="57">
      <c r="A24" s="238" t="s">
        <v>391</v>
      </c>
      <c r="B24" s="244" t="s">
        <v>459</v>
      </c>
      <c r="C24" s="244" t="s">
        <v>460</v>
      </c>
      <c r="D24" s="245"/>
      <c r="E24" s="245">
        <v>0.13159999999999999</v>
      </c>
      <c r="F24" s="246"/>
      <c r="G24" s="241">
        <f t="shared" si="0"/>
        <v>259368.14358</v>
      </c>
      <c r="M24" s="426"/>
    </row>
    <row r="25" spans="1:13" s="242" customFormat="1" ht="28.5">
      <c r="A25" s="238" t="s">
        <v>392</v>
      </c>
      <c r="B25" s="244" t="s">
        <v>393</v>
      </c>
      <c r="C25" s="244" t="s">
        <v>461</v>
      </c>
      <c r="D25" s="245"/>
      <c r="E25" s="245">
        <v>4.4400000000000002E-2</v>
      </c>
      <c r="F25" s="246"/>
      <c r="G25" s="241">
        <f t="shared" si="0"/>
        <v>87507.185219999999</v>
      </c>
      <c r="M25" s="426"/>
    </row>
    <row r="26" spans="1:13" s="242" customFormat="1" ht="42.75">
      <c r="A26" s="238" t="s">
        <v>394</v>
      </c>
      <c r="B26" s="244" t="s">
        <v>399</v>
      </c>
      <c r="C26" s="244" t="s">
        <v>462</v>
      </c>
      <c r="D26" s="245"/>
      <c r="E26" s="245">
        <v>2.24E-2</v>
      </c>
      <c r="F26" s="246"/>
      <c r="G26" s="241">
        <f t="shared" si="0"/>
        <v>44147.769119999997</v>
      </c>
    </row>
    <row r="27" spans="1:13" s="242" customFormat="1" ht="42.75">
      <c r="A27" s="238" t="s">
        <v>395</v>
      </c>
      <c r="B27" s="244" t="s">
        <v>40</v>
      </c>
      <c r="C27" s="244" t="s">
        <v>463</v>
      </c>
      <c r="D27" s="245"/>
      <c r="E27" s="245">
        <v>6.8999999999999999E-3</v>
      </c>
      <c r="F27" s="246"/>
      <c r="G27" s="241">
        <f t="shared" si="0"/>
        <v>13599.089594999999</v>
      </c>
      <c r="M27" s="426"/>
    </row>
    <row r="28" spans="1:13">
      <c r="A28" s="233">
        <v>3</v>
      </c>
      <c r="B28" s="234" t="s">
        <v>179</v>
      </c>
      <c r="C28" s="235"/>
      <c r="D28" s="236">
        <v>0.29249999999999998</v>
      </c>
      <c r="E28" s="236">
        <f>SUM(E29:E36)</f>
        <v>1</v>
      </c>
      <c r="F28" s="237">
        <f>D28*G10</f>
        <v>1043786.2499999999</v>
      </c>
      <c r="G28" s="237"/>
      <c r="M28" s="427"/>
    </row>
    <row r="29" spans="1:13" s="242" customFormat="1" ht="28.5">
      <c r="A29" s="238" t="s">
        <v>3</v>
      </c>
      <c r="B29" s="239" t="s">
        <v>180</v>
      </c>
      <c r="C29" s="239" t="s">
        <v>464</v>
      </c>
      <c r="D29" s="240"/>
      <c r="E29" s="240">
        <v>2.7910000000000001E-2</v>
      </c>
      <c r="F29" s="241"/>
      <c r="G29" s="241">
        <f>E29*$F$28</f>
        <v>29132.074237499997</v>
      </c>
    </row>
    <row r="30" spans="1:13" s="242" customFormat="1" ht="42.75">
      <c r="A30" s="238" t="s">
        <v>77</v>
      </c>
      <c r="B30" s="244" t="s">
        <v>396</v>
      </c>
      <c r="C30" s="244" t="s">
        <v>465</v>
      </c>
      <c r="D30" s="245"/>
      <c r="E30" s="245">
        <v>0.22941</v>
      </c>
      <c r="F30" s="246"/>
      <c r="G30" s="241">
        <f t="shared" ref="G30:G36" si="1">E30*$F$28</f>
        <v>239455.00361249998</v>
      </c>
    </row>
    <row r="31" spans="1:13" s="242" customFormat="1" ht="71.25">
      <c r="A31" s="238" t="s">
        <v>4</v>
      </c>
      <c r="B31" s="244" t="s">
        <v>466</v>
      </c>
      <c r="C31" s="244" t="s">
        <v>467</v>
      </c>
      <c r="D31" s="245"/>
      <c r="E31" s="245">
        <v>0.32221</v>
      </c>
      <c r="F31" s="246"/>
      <c r="G31" s="241">
        <f t="shared" si="1"/>
        <v>336318.36761249998</v>
      </c>
    </row>
    <row r="32" spans="1:13" s="242" customFormat="1" ht="28.5">
      <c r="A32" s="238" t="s">
        <v>172</v>
      </c>
      <c r="B32" s="244" t="s">
        <v>181</v>
      </c>
      <c r="C32" s="244" t="s">
        <v>468</v>
      </c>
      <c r="D32" s="245"/>
      <c r="E32" s="245">
        <v>0.16170999999999999</v>
      </c>
      <c r="F32" s="246"/>
      <c r="G32" s="241">
        <f t="shared" si="1"/>
        <v>168790.67448749999</v>
      </c>
    </row>
    <row r="33" spans="1:9" s="242" customFormat="1" ht="28.5">
      <c r="A33" s="238" t="s">
        <v>173</v>
      </c>
      <c r="B33" s="244" t="s">
        <v>469</v>
      </c>
      <c r="C33" s="244" t="s">
        <v>470</v>
      </c>
      <c r="D33" s="245"/>
      <c r="E33" s="245">
        <v>0.10621</v>
      </c>
      <c r="F33" s="246"/>
      <c r="G33" s="241">
        <f t="shared" si="1"/>
        <v>110860.53761249999</v>
      </c>
    </row>
    <row r="34" spans="1:9" s="242" customFormat="1" ht="71.25">
      <c r="A34" s="238" t="s">
        <v>174</v>
      </c>
      <c r="B34" s="248" t="s">
        <v>397</v>
      </c>
      <c r="C34" s="244" t="s">
        <v>471</v>
      </c>
      <c r="D34" s="245"/>
      <c r="E34" s="245">
        <v>0.11641</v>
      </c>
      <c r="F34" s="246"/>
      <c r="G34" s="241">
        <f t="shared" si="1"/>
        <v>121507.15736249999</v>
      </c>
    </row>
    <row r="35" spans="1:9" s="242" customFormat="1" ht="42.75">
      <c r="A35" s="238" t="s">
        <v>175</v>
      </c>
      <c r="B35" s="244" t="s">
        <v>398</v>
      </c>
      <c r="C35" s="244" t="s">
        <v>472</v>
      </c>
      <c r="D35" s="245"/>
      <c r="E35" s="245">
        <v>2.2409999999999999E-2</v>
      </c>
      <c r="F35" s="246"/>
      <c r="G35" s="241">
        <f t="shared" si="1"/>
        <v>23391.249862499997</v>
      </c>
    </row>
    <row r="36" spans="1:9" s="242" customFormat="1" ht="28.5">
      <c r="A36" s="238" t="s">
        <v>430</v>
      </c>
      <c r="B36" s="248" t="s">
        <v>473</v>
      </c>
      <c r="C36" s="248" t="s">
        <v>474</v>
      </c>
      <c r="D36" s="245"/>
      <c r="E36" s="245">
        <v>1.3729999999999999E-2</v>
      </c>
      <c r="F36" s="246"/>
      <c r="G36" s="241">
        <f t="shared" si="1"/>
        <v>14331.185212499997</v>
      </c>
    </row>
    <row r="37" spans="1:9">
      <c r="A37" s="233">
        <v>4</v>
      </c>
      <c r="B37" s="234" t="s">
        <v>475</v>
      </c>
      <c r="C37" s="235"/>
      <c r="D37" s="236">
        <v>6.6000000000000003E-2</v>
      </c>
      <c r="E37" s="236">
        <f>SUM(E38:E45)</f>
        <v>1</v>
      </c>
      <c r="F37" s="237">
        <f>D37*G10</f>
        <v>235521</v>
      </c>
      <c r="G37" s="237"/>
    </row>
    <row r="38" spans="1:9" ht="28.5">
      <c r="A38" s="249" t="s">
        <v>5</v>
      </c>
      <c r="B38" s="250" t="s">
        <v>476</v>
      </c>
      <c r="C38" s="582" t="s">
        <v>477</v>
      </c>
      <c r="D38" s="251"/>
      <c r="E38" s="251">
        <v>0.53385000000000005</v>
      </c>
      <c r="F38" s="252"/>
      <c r="G38" s="253">
        <f t="shared" ref="G38:G43" si="2">E38*$F$37</f>
        <v>125732.88585000001</v>
      </c>
      <c r="H38" s="224">
        <v>218.62</v>
      </c>
      <c r="I38" s="539">
        <f>G38/H38</f>
        <v>575.12069275455133</v>
      </c>
    </row>
    <row r="39" spans="1:9">
      <c r="A39" s="249" t="s">
        <v>9</v>
      </c>
      <c r="B39" s="250" t="s">
        <v>478</v>
      </c>
      <c r="C39" s="583"/>
      <c r="D39" s="251"/>
      <c r="E39" s="251">
        <v>8.3250000000000005E-2</v>
      </c>
      <c r="F39" s="252"/>
      <c r="G39" s="253">
        <f t="shared" si="2"/>
        <v>19607.123250000001</v>
      </c>
    </row>
    <row r="40" spans="1:9">
      <c r="A40" s="249" t="s">
        <v>432</v>
      </c>
      <c r="B40" s="250" t="s">
        <v>479</v>
      </c>
      <c r="C40" s="583"/>
      <c r="D40" s="251"/>
      <c r="E40" s="251">
        <v>2.2349999999999998E-2</v>
      </c>
      <c r="F40" s="252"/>
      <c r="G40" s="253">
        <f t="shared" si="2"/>
        <v>5263.8943499999996</v>
      </c>
    </row>
    <row r="41" spans="1:9" ht="16.5" customHeight="1">
      <c r="A41" s="249" t="s">
        <v>433</v>
      </c>
      <c r="B41" s="250" t="s">
        <v>480</v>
      </c>
      <c r="C41" s="583"/>
      <c r="D41" s="251"/>
      <c r="E41" s="251">
        <v>8.8050000000000003E-2</v>
      </c>
      <c r="F41" s="252"/>
      <c r="G41" s="253">
        <f t="shared" si="2"/>
        <v>20737.624050000002</v>
      </c>
    </row>
    <row r="42" spans="1:9">
      <c r="A42" s="249" t="s">
        <v>481</v>
      </c>
      <c r="B42" s="250" t="s">
        <v>482</v>
      </c>
      <c r="C42" s="584"/>
      <c r="D42" s="251"/>
      <c r="E42" s="251">
        <v>0.18185000000000001</v>
      </c>
      <c r="F42" s="252"/>
      <c r="G42" s="253">
        <f t="shared" si="2"/>
        <v>42829.493850000006</v>
      </c>
    </row>
    <row r="43" spans="1:9" ht="28.5">
      <c r="A43" s="249" t="s">
        <v>483</v>
      </c>
      <c r="B43" s="250" t="s">
        <v>484</v>
      </c>
      <c r="C43" s="250" t="s">
        <v>485</v>
      </c>
      <c r="D43" s="251"/>
      <c r="E43" s="251">
        <v>9.0649999999999994E-2</v>
      </c>
      <c r="F43" s="252"/>
      <c r="G43" s="253">
        <f t="shared" si="2"/>
        <v>21349.978649999997</v>
      </c>
    </row>
    <row r="44" spans="1:9">
      <c r="A44" s="254"/>
      <c r="B44" s="255"/>
      <c r="C44" s="256" t="s">
        <v>486</v>
      </c>
      <c r="D44" s="257"/>
      <c r="E44" s="257"/>
      <c r="F44" s="258">
        <f>SUM(F12:F43)</f>
        <v>3568500</v>
      </c>
      <c r="G44" s="259">
        <f>SUM(G12:G43)</f>
        <v>3568500.0000000009</v>
      </c>
    </row>
    <row r="46" spans="1:9">
      <c r="A46" s="242"/>
      <c r="B46" s="585" t="s">
        <v>487</v>
      </c>
      <c r="C46" s="585"/>
      <c r="D46" s="585"/>
      <c r="E46" s="242"/>
      <c r="G46" s="260"/>
    </row>
    <row r="48" spans="1:9">
      <c r="D48" s="431" t="s">
        <v>178</v>
      </c>
      <c r="E48" s="431"/>
      <c r="F48" s="431"/>
    </row>
    <row r="49" spans="4:6">
      <c r="D49" s="430" t="s">
        <v>790</v>
      </c>
      <c r="E49" s="430"/>
      <c r="F49" s="430"/>
    </row>
    <row r="50" spans="4:6">
      <c r="D50" s="430" t="s">
        <v>791</v>
      </c>
      <c r="E50" s="430"/>
      <c r="F50" s="430"/>
    </row>
    <row r="51" spans="4:6">
      <c r="D51" s="430" t="s">
        <v>177</v>
      </c>
      <c r="E51" s="430"/>
      <c r="F51" s="430"/>
    </row>
    <row r="52" spans="4:6">
      <c r="D52" s="557" t="s">
        <v>792</v>
      </c>
      <c r="E52" s="557"/>
      <c r="F52" s="557"/>
    </row>
  </sheetData>
  <mergeCells count="5">
    <mergeCell ref="D52:F52"/>
    <mergeCell ref="A10:E10"/>
    <mergeCell ref="C38:C42"/>
    <mergeCell ref="B46:D46"/>
    <mergeCell ref="A5:G5"/>
  </mergeCells>
  <pageMargins left="0.511811024" right="0.511811024" top="0.78740157499999996" bottom="0.78740157499999996" header="0.31496062000000002" footer="0.31496062000000002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88F5-960D-420B-8713-DAF997AE46E9}">
  <dimension ref="F4:R19"/>
  <sheetViews>
    <sheetView workbookViewId="0">
      <selection activeCell="L7" sqref="L7"/>
    </sheetView>
  </sheetViews>
  <sheetFormatPr defaultRowHeight="15"/>
  <cols>
    <col min="18" max="18" width="12.7109375" bestFit="1" customWidth="1"/>
  </cols>
  <sheetData>
    <row r="4" spans="6:18">
      <c r="F4">
        <v>2636</v>
      </c>
      <c r="L4">
        <v>19174</v>
      </c>
      <c r="M4">
        <f>L4/1000</f>
        <v>19.173999999999999</v>
      </c>
      <c r="N4">
        <f>M4*2.5</f>
        <v>47.935000000000002</v>
      </c>
    </row>
    <row r="5" spans="6:18">
      <c r="F5">
        <v>942</v>
      </c>
    </row>
    <row r="6" spans="6:18">
      <c r="F6">
        <v>2105</v>
      </c>
      <c r="J6">
        <v>14880</v>
      </c>
      <c r="K6">
        <f>J6/1000</f>
        <v>14.88</v>
      </c>
      <c r="L6">
        <f>K6*2.5</f>
        <v>37.200000000000003</v>
      </c>
    </row>
    <row r="7" spans="6:18">
      <c r="F7">
        <v>415</v>
      </c>
      <c r="J7">
        <v>19174</v>
      </c>
      <c r="K7">
        <f>J7/1000</f>
        <v>19.173999999999999</v>
      </c>
      <c r="L7">
        <f>K7*2.5</f>
        <v>47.935000000000002</v>
      </c>
    </row>
    <row r="8" spans="6:18">
      <c r="F8">
        <v>1460</v>
      </c>
      <c r="J8">
        <f>J7+J6</f>
        <v>34054</v>
      </c>
      <c r="K8">
        <f>J8/1000</f>
        <v>34.054000000000002</v>
      </c>
    </row>
    <row r="9" spans="6:18">
      <c r="F9">
        <v>431</v>
      </c>
      <c r="L9">
        <f>K8*2.5</f>
        <v>85.135000000000005</v>
      </c>
    </row>
    <row r="10" spans="6:18">
      <c r="F10">
        <v>636</v>
      </c>
    </row>
    <row r="11" spans="6:18">
      <c r="F11">
        <v>1103</v>
      </c>
    </row>
    <row r="12" spans="6:18">
      <c r="F12">
        <v>974</v>
      </c>
    </row>
    <row r="13" spans="6:18">
      <c r="F13">
        <v>405</v>
      </c>
    </row>
    <row r="14" spans="6:18">
      <c r="F14">
        <v>1110</v>
      </c>
    </row>
    <row r="15" spans="6:18">
      <c r="F15">
        <v>1552</v>
      </c>
    </row>
    <row r="16" spans="6:18">
      <c r="F16">
        <v>702</v>
      </c>
      <c r="R16" s="422"/>
    </row>
    <row r="17" spans="6:8">
      <c r="F17">
        <v>909</v>
      </c>
    </row>
    <row r="18" spans="6:8">
      <c r="F18">
        <v>379</v>
      </c>
    </row>
    <row r="19" spans="6:8">
      <c r="F19">
        <f>SUM(F4:F18)</f>
        <v>15759</v>
      </c>
      <c r="G19">
        <f>F19/1000</f>
        <v>15.759</v>
      </c>
      <c r="H19">
        <f>G19*1.2</f>
        <v>18.910799999999998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U54"/>
  <sheetViews>
    <sheetView view="pageBreakPreview" topLeftCell="B1" zoomScale="90" zoomScaleNormal="100" zoomScaleSheetLayoutView="90" workbookViewId="0">
      <pane xSplit="1" topLeftCell="C1" activePane="topRight" state="frozen"/>
      <selection activeCell="B10" sqref="B10"/>
      <selection pane="topRight" activeCell="F22" sqref="F22"/>
    </sheetView>
  </sheetViews>
  <sheetFormatPr defaultRowHeight="12.75"/>
  <cols>
    <col min="1" max="1" width="6.28515625" style="36" bestFit="1" customWidth="1"/>
    <col min="2" max="2" width="18.42578125" style="35" customWidth="1"/>
    <col min="3" max="3" width="16" style="37" bestFit="1" customWidth="1"/>
    <col min="4" max="4" width="8.42578125" style="85" customWidth="1"/>
    <col min="5" max="5" width="7.7109375" style="41" bestFit="1" customWidth="1"/>
    <col min="6" max="6" width="13.5703125" style="42" bestFit="1" customWidth="1"/>
    <col min="7" max="7" width="7.7109375" style="41" bestFit="1" customWidth="1"/>
    <col min="8" max="8" width="13.5703125" style="86" bestFit="1" customWidth="1"/>
    <col min="9" max="9" width="7.7109375" style="41" bestFit="1" customWidth="1"/>
    <col min="10" max="10" width="14.5703125" style="42" bestFit="1" customWidth="1"/>
    <col min="11" max="11" width="8.7109375" style="41" bestFit="1" customWidth="1"/>
    <col min="12" max="12" width="15" style="42" bestFit="1" customWidth="1"/>
    <col min="13" max="13" width="6.7109375" style="41" bestFit="1" customWidth="1"/>
    <col min="14" max="14" width="15" style="42" bestFit="1" customWidth="1"/>
    <col min="15" max="15" width="6.7109375" style="41" bestFit="1" customWidth="1"/>
    <col min="16" max="16" width="15" style="86" bestFit="1" customWidth="1"/>
    <col min="17" max="17" width="6.7109375" style="41" bestFit="1" customWidth="1"/>
    <col min="18" max="18" width="15" style="42" bestFit="1" customWidth="1"/>
    <col min="19" max="19" width="7.7109375" style="41" bestFit="1" customWidth="1"/>
    <col min="20" max="20" width="15" style="42" bestFit="1" customWidth="1"/>
    <col min="21" max="21" width="12.42578125" style="35" bestFit="1" customWidth="1"/>
    <col min="22" max="16384" width="9.140625" style="35"/>
  </cols>
  <sheetData>
    <row r="1" spans="1:20" ht="15">
      <c r="A1" s="9"/>
      <c r="B1" s="9"/>
      <c r="C1" s="432"/>
      <c r="D1" s="11"/>
      <c r="E1" s="96"/>
      <c r="F1" s="96"/>
      <c r="G1" s="96"/>
      <c r="H1" s="96"/>
      <c r="I1" s="96"/>
      <c r="J1" s="96"/>
      <c r="K1" s="96"/>
      <c r="L1" s="6"/>
      <c r="M1" s="6"/>
      <c r="N1" s="386"/>
      <c r="O1" s="272"/>
      <c r="P1" s="272"/>
      <c r="Q1" s="272"/>
      <c r="R1" s="272"/>
      <c r="S1" s="272"/>
      <c r="T1" s="272"/>
    </row>
    <row r="2" spans="1:20" ht="15.75" customHeight="1">
      <c r="A2" s="550" t="s">
        <v>489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</row>
    <row r="3" spans="1:20" ht="15.75">
      <c r="A3" s="428"/>
      <c r="B3" s="428"/>
      <c r="C3" s="433"/>
      <c r="D3" s="15"/>
      <c r="E3" s="97"/>
      <c r="F3" s="97"/>
      <c r="G3" s="97"/>
      <c r="H3" s="97"/>
      <c r="I3" s="97"/>
      <c r="J3" s="97"/>
      <c r="K3" s="97"/>
      <c r="L3" s="16"/>
      <c r="M3" s="16"/>
      <c r="N3" s="387"/>
      <c r="O3" s="272"/>
      <c r="P3" s="272"/>
      <c r="Q3" s="272"/>
      <c r="R3" s="272"/>
      <c r="S3" s="272"/>
      <c r="T3" s="272"/>
    </row>
    <row r="4" spans="1:20" ht="15.75">
      <c r="A4" s="551" t="s">
        <v>789</v>
      </c>
      <c r="B4" s="551"/>
      <c r="C4" s="551"/>
      <c r="D4" s="551"/>
      <c r="E4" s="551"/>
      <c r="F4" s="551"/>
      <c r="G4" s="551"/>
      <c r="H4" s="551"/>
      <c r="I4" s="551"/>
      <c r="J4" s="551"/>
      <c r="K4" s="551"/>
      <c r="L4" s="551"/>
      <c r="M4" s="551"/>
      <c r="N4" s="551"/>
      <c r="O4" s="551"/>
      <c r="P4" s="551"/>
      <c r="Q4" s="551"/>
      <c r="R4" s="551"/>
      <c r="S4" s="551"/>
      <c r="T4" s="551"/>
    </row>
    <row r="5" spans="1:20" ht="15">
      <c r="A5" s="267"/>
      <c r="B5" s="268"/>
      <c r="C5" s="434"/>
      <c r="D5" s="270"/>
      <c r="E5" s="271"/>
      <c r="F5" s="272"/>
      <c r="G5" s="273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</row>
    <row r="6" spans="1:20" ht="15">
      <c r="A6" s="267" t="s">
        <v>527</v>
      </c>
      <c r="B6" s="268"/>
      <c r="C6" s="434"/>
      <c r="D6" s="270"/>
      <c r="E6" s="271"/>
      <c r="F6" s="272"/>
      <c r="G6" s="273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</row>
    <row r="7" spans="1:20" ht="15">
      <c r="A7" s="267" t="s">
        <v>532</v>
      </c>
      <c r="B7" s="268"/>
      <c r="C7" s="434"/>
      <c r="D7" s="270"/>
      <c r="E7" s="271"/>
      <c r="F7" s="272"/>
      <c r="G7" s="273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</row>
    <row r="8" spans="1:20" ht="15">
      <c r="A8" s="267" t="s">
        <v>530</v>
      </c>
      <c r="B8" s="268"/>
      <c r="C8" s="434"/>
      <c r="D8" s="270"/>
      <c r="E8" s="271"/>
      <c r="F8" s="272"/>
      <c r="G8" s="273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</row>
    <row r="9" spans="1:20" ht="15.75" thickBot="1">
      <c r="A9" s="267" t="s">
        <v>531</v>
      </c>
      <c r="B9" s="268"/>
      <c r="C9" s="434"/>
      <c r="D9" s="270"/>
      <c r="E9" s="271"/>
      <c r="F9" s="272"/>
      <c r="G9" s="273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</row>
    <row r="10" spans="1:20" s="43" customFormat="1" ht="12.75" customHeight="1">
      <c r="A10" s="591" t="s">
        <v>0</v>
      </c>
      <c r="B10" s="589" t="s">
        <v>43</v>
      </c>
      <c r="C10" s="587" t="s">
        <v>182</v>
      </c>
      <c r="D10" s="596" t="s">
        <v>183</v>
      </c>
      <c r="E10" s="593" t="s">
        <v>184</v>
      </c>
      <c r="F10" s="594"/>
      <c r="G10" s="594"/>
      <c r="H10" s="594"/>
      <c r="I10" s="594"/>
      <c r="J10" s="594"/>
      <c r="K10" s="594"/>
      <c r="L10" s="594"/>
      <c r="M10" s="594"/>
      <c r="N10" s="598"/>
      <c r="O10" s="593" t="s">
        <v>184</v>
      </c>
      <c r="P10" s="594"/>
      <c r="Q10" s="594"/>
      <c r="R10" s="594"/>
      <c r="S10" s="594"/>
      <c r="T10" s="595"/>
    </row>
    <row r="11" spans="1:20" s="44" customFormat="1">
      <c r="A11" s="592"/>
      <c r="B11" s="590"/>
      <c r="C11" s="588"/>
      <c r="D11" s="597"/>
      <c r="E11" s="599" t="s">
        <v>861</v>
      </c>
      <c r="F11" s="599"/>
      <c r="G11" s="599" t="s">
        <v>862</v>
      </c>
      <c r="H11" s="599"/>
      <c r="I11" s="599" t="s">
        <v>863</v>
      </c>
      <c r="J11" s="599"/>
      <c r="K11" s="599" t="s">
        <v>864</v>
      </c>
      <c r="L11" s="599"/>
      <c r="M11" s="599" t="s">
        <v>865</v>
      </c>
      <c r="N11" s="599"/>
      <c r="O11" s="599" t="s">
        <v>866</v>
      </c>
      <c r="P11" s="599"/>
      <c r="Q11" s="599" t="s">
        <v>867</v>
      </c>
      <c r="R11" s="599"/>
      <c r="S11" s="599" t="s">
        <v>868</v>
      </c>
      <c r="T11" s="599"/>
    </row>
    <row r="12" spans="1:20" s="44" customFormat="1">
      <c r="A12" s="592"/>
      <c r="B12" s="590"/>
      <c r="C12" s="588"/>
      <c r="D12" s="597"/>
      <c r="E12" s="49" t="s">
        <v>185</v>
      </c>
      <c r="F12" s="50" t="s">
        <v>186</v>
      </c>
      <c r="G12" s="49" t="s">
        <v>185</v>
      </c>
      <c r="H12" s="87" t="s">
        <v>186</v>
      </c>
      <c r="I12" s="49" t="s">
        <v>185</v>
      </c>
      <c r="J12" s="50" t="s">
        <v>186</v>
      </c>
      <c r="K12" s="49" t="s">
        <v>185</v>
      </c>
      <c r="L12" s="50" t="s">
        <v>186</v>
      </c>
      <c r="M12" s="49" t="s">
        <v>185</v>
      </c>
      <c r="N12" s="50" t="s">
        <v>186</v>
      </c>
      <c r="O12" s="49" t="s">
        <v>185</v>
      </c>
      <c r="P12" s="87" t="s">
        <v>186</v>
      </c>
      <c r="Q12" s="49" t="s">
        <v>185</v>
      </c>
      <c r="R12" s="50" t="s">
        <v>186</v>
      </c>
      <c r="S12" s="49" t="s">
        <v>185</v>
      </c>
      <c r="T12" s="484" t="s">
        <v>186</v>
      </c>
    </row>
    <row r="13" spans="1:20">
      <c r="A13" s="485">
        <v>1</v>
      </c>
      <c r="B13" s="498" t="s">
        <v>54</v>
      </c>
      <c r="C13" s="51"/>
      <c r="D13" s="83"/>
      <c r="E13" s="52"/>
      <c r="F13" s="53"/>
      <c r="G13" s="52"/>
      <c r="H13" s="88"/>
      <c r="I13" s="52"/>
      <c r="J13" s="53"/>
      <c r="K13" s="52"/>
      <c r="L13" s="53"/>
      <c r="M13" s="52"/>
      <c r="N13" s="53"/>
      <c r="O13" s="52"/>
      <c r="P13" s="88"/>
      <c r="Q13" s="52"/>
      <c r="R13" s="53"/>
      <c r="S13" s="52"/>
      <c r="T13" s="486"/>
    </row>
    <row r="14" spans="1:20" ht="25.5">
      <c r="A14" s="487" t="s">
        <v>51</v>
      </c>
      <c r="B14" s="499" t="s">
        <v>58</v>
      </c>
      <c r="C14" s="45">
        <v>209037.491442</v>
      </c>
      <c r="D14" s="78">
        <f>C14/$C$45</f>
        <v>5.8578531999999982E-2</v>
      </c>
      <c r="E14" s="79">
        <v>0</v>
      </c>
      <c r="F14" s="80">
        <f>E14*C14</f>
        <v>0</v>
      </c>
      <c r="G14" s="79">
        <f>SUM(G15,G19:G28,G30:G37,G39:G44)/25</f>
        <v>0.1</v>
      </c>
      <c r="H14" s="80">
        <f>G14*C14</f>
        <v>20903.749144200003</v>
      </c>
      <c r="I14" s="79">
        <f>SUM(I15,I19:I28,I30:I37,I39:I44)/25</f>
        <v>0.11199999999999999</v>
      </c>
      <c r="J14" s="80">
        <f>I14*C14</f>
        <v>23412.199041503998</v>
      </c>
      <c r="K14" s="79">
        <f>SUM(K15,K19:K28,K30:K37,K39:K44)/25</f>
        <v>0.14399999999999999</v>
      </c>
      <c r="L14" s="80">
        <f>K14*C14</f>
        <v>30101.398767647999</v>
      </c>
      <c r="M14" s="79">
        <f>SUM(M15,M19:M28,M30:M37,M39:M44)/25</f>
        <v>8.5999999999999993E-2</v>
      </c>
      <c r="N14" s="80">
        <f>M14*C14</f>
        <v>17977.224264011998</v>
      </c>
      <c r="O14" s="79">
        <f>SUM(O15,O19:O28,O30:O37,O39:O44)/25</f>
        <v>0.106</v>
      </c>
      <c r="P14" s="80">
        <f>O14*C14</f>
        <v>22157.974092852</v>
      </c>
      <c r="Q14" s="79">
        <f>SUM(Q15,Q19:Q28,Q30:Q37,Q39:Q44)/25</f>
        <v>0.19</v>
      </c>
      <c r="R14" s="80">
        <f>Q14*C14</f>
        <v>39717.123373980001</v>
      </c>
      <c r="S14" s="79">
        <f>SUM(S15,S19:S28,S30:S37,S39:S44)/25</f>
        <v>0.26200000000000001</v>
      </c>
      <c r="T14" s="490">
        <f>S14*C14</f>
        <v>54767.822757804002</v>
      </c>
    </row>
    <row r="15" spans="1:20">
      <c r="A15" s="487" t="s">
        <v>52</v>
      </c>
      <c r="B15" s="499" t="s">
        <v>359</v>
      </c>
      <c r="C15" s="45">
        <v>12869.281386000001</v>
      </c>
      <c r="D15" s="78">
        <f t="shared" ref="D15:D17" si="0">C15/$C$45</f>
        <v>3.6063559999999994E-3</v>
      </c>
      <c r="E15" s="79">
        <v>0</v>
      </c>
      <c r="F15" s="80">
        <f t="shared" ref="F15:F16" si="1">E15*C15</f>
        <v>0</v>
      </c>
      <c r="G15" s="79">
        <v>1</v>
      </c>
      <c r="H15" s="80">
        <f>G15*C15</f>
        <v>12869.281386000001</v>
      </c>
      <c r="I15" s="79"/>
      <c r="J15" s="80"/>
      <c r="K15" s="79"/>
      <c r="L15" s="80"/>
      <c r="M15" s="79"/>
      <c r="N15" s="80"/>
      <c r="O15" s="79"/>
      <c r="P15" s="80"/>
      <c r="Q15" s="79"/>
      <c r="R15" s="80"/>
      <c r="S15" s="79"/>
      <c r="T15" s="490"/>
    </row>
    <row r="16" spans="1:20">
      <c r="A16" s="487" t="s">
        <v>53</v>
      </c>
      <c r="B16" s="499" t="s">
        <v>448</v>
      </c>
      <c r="C16" s="45">
        <v>35692.122726000001</v>
      </c>
      <c r="D16" s="78">
        <f t="shared" si="0"/>
        <v>1.0001995999999997E-2</v>
      </c>
      <c r="E16" s="79">
        <v>1</v>
      </c>
      <c r="F16" s="80">
        <f t="shared" si="1"/>
        <v>35692.122726000001</v>
      </c>
      <c r="G16" s="79"/>
      <c r="H16" s="80"/>
      <c r="I16" s="79"/>
      <c r="J16" s="80"/>
      <c r="K16" s="79"/>
      <c r="L16" s="80"/>
      <c r="M16" s="79"/>
      <c r="N16" s="80"/>
      <c r="O16" s="79"/>
      <c r="P16" s="80"/>
      <c r="Q16" s="79"/>
      <c r="R16" s="80"/>
      <c r="S16" s="79"/>
      <c r="T16" s="490"/>
    </row>
    <row r="17" spans="1:21">
      <c r="A17" s="487" t="s">
        <v>167</v>
      </c>
      <c r="B17" s="499" t="s">
        <v>448</v>
      </c>
      <c r="C17" s="45">
        <v>60711.304446000009</v>
      </c>
      <c r="D17" s="78">
        <f t="shared" si="0"/>
        <v>1.7013115999999998E-2</v>
      </c>
      <c r="E17" s="79"/>
      <c r="F17" s="80"/>
      <c r="G17" s="79"/>
      <c r="H17" s="80"/>
      <c r="I17" s="79">
        <v>1</v>
      </c>
      <c r="J17" s="80">
        <f>I17*C17</f>
        <v>60711.304446000009</v>
      </c>
      <c r="K17" s="79"/>
      <c r="L17" s="80"/>
      <c r="M17" s="79"/>
      <c r="N17" s="80"/>
      <c r="O17" s="79"/>
      <c r="P17" s="80"/>
      <c r="Q17" s="79"/>
      <c r="R17" s="80"/>
      <c r="S17" s="79"/>
      <c r="T17" s="490"/>
      <c r="U17" s="537"/>
    </row>
    <row r="18" spans="1:21" ht="25.5">
      <c r="A18" s="485">
        <v>2</v>
      </c>
      <c r="B18" s="498" t="s">
        <v>386</v>
      </c>
      <c r="C18" s="51"/>
      <c r="D18" s="83"/>
      <c r="E18" s="502"/>
      <c r="F18" s="89"/>
      <c r="G18" s="502"/>
      <c r="H18" s="89"/>
      <c r="I18" s="502"/>
      <c r="J18" s="89"/>
      <c r="K18" s="502"/>
      <c r="L18" s="89"/>
      <c r="M18" s="502"/>
      <c r="N18" s="89"/>
      <c r="O18" s="502"/>
      <c r="P18" s="89"/>
      <c r="Q18" s="502"/>
      <c r="R18" s="89"/>
      <c r="S18" s="502"/>
      <c r="T18" s="503"/>
      <c r="U18" s="538"/>
    </row>
    <row r="19" spans="1:21" s="76" customFormat="1">
      <c r="A19" s="488" t="s">
        <v>1</v>
      </c>
      <c r="B19" s="500" t="s">
        <v>179</v>
      </c>
      <c r="C19" s="75">
        <v>197679.519765</v>
      </c>
      <c r="D19" s="78">
        <f>C19/$C$45</f>
        <v>5.5395689999999984E-2</v>
      </c>
      <c r="E19" s="504"/>
      <c r="F19" s="80"/>
      <c r="G19" s="504">
        <v>0.1</v>
      </c>
      <c r="H19" s="80">
        <f t="shared" ref="H19" si="2">G19*C19</f>
        <v>19767.9519765</v>
      </c>
      <c r="I19" s="504">
        <v>0.7</v>
      </c>
      <c r="J19" s="80">
        <f t="shared" ref="J19:J22" si="3">I19*C19</f>
        <v>138375.66383549999</v>
      </c>
      <c r="K19" s="504">
        <v>0.2</v>
      </c>
      <c r="L19" s="80">
        <f t="shared" ref="L19:L23" si="4">K19*C19</f>
        <v>39535.903953000001</v>
      </c>
      <c r="M19" s="504"/>
      <c r="N19" s="91"/>
      <c r="O19" s="504"/>
      <c r="P19" s="91"/>
      <c r="Q19" s="504"/>
      <c r="R19" s="91"/>
      <c r="S19" s="504"/>
      <c r="T19" s="505"/>
    </row>
    <row r="20" spans="1:21">
      <c r="A20" s="487" t="s">
        <v>2</v>
      </c>
      <c r="B20" s="499" t="s">
        <v>452</v>
      </c>
      <c r="C20" s="45">
        <v>457441.83985500003</v>
      </c>
      <c r="D20" s="78">
        <f t="shared" ref="D20:D44" si="5">C20/$C$45</f>
        <v>0.12818882999999998</v>
      </c>
      <c r="E20" s="79"/>
      <c r="F20" s="80"/>
      <c r="G20" s="79"/>
      <c r="H20" s="80"/>
      <c r="I20" s="79">
        <v>0.25</v>
      </c>
      <c r="J20" s="80">
        <f t="shared" si="3"/>
        <v>114360.45996375001</v>
      </c>
      <c r="K20" s="79">
        <v>0.5</v>
      </c>
      <c r="L20" s="80">
        <f t="shared" si="4"/>
        <v>228720.91992750001</v>
      </c>
      <c r="M20" s="79">
        <v>0.25</v>
      </c>
      <c r="N20" s="80">
        <f t="shared" ref="N20:N26" si="6">M20*C20</f>
        <v>114360.45996375001</v>
      </c>
      <c r="O20" s="79"/>
      <c r="P20" s="80"/>
      <c r="Q20" s="79"/>
      <c r="R20" s="80"/>
      <c r="S20" s="79"/>
      <c r="T20" s="490"/>
    </row>
    <row r="21" spans="1:21">
      <c r="A21" s="487" t="s">
        <v>55</v>
      </c>
      <c r="B21" s="499" t="s">
        <v>387</v>
      </c>
      <c r="C21" s="45">
        <v>267842.93854499998</v>
      </c>
      <c r="D21" s="78">
        <f t="shared" si="5"/>
        <v>7.5057569999999976E-2</v>
      </c>
      <c r="E21" s="79"/>
      <c r="F21" s="80"/>
      <c r="G21" s="79"/>
      <c r="H21" s="80"/>
      <c r="I21" s="79"/>
      <c r="J21" s="80"/>
      <c r="K21" s="79">
        <v>0.25</v>
      </c>
      <c r="L21" s="80">
        <f t="shared" si="4"/>
        <v>66960.734636249996</v>
      </c>
      <c r="M21" s="79">
        <v>0.5</v>
      </c>
      <c r="N21" s="80">
        <f t="shared" si="6"/>
        <v>133921.46927249999</v>
      </c>
      <c r="O21" s="79">
        <v>0.25</v>
      </c>
      <c r="P21" s="80">
        <f t="shared" ref="P21:P33" si="7">O21*C21</f>
        <v>66960.734636249996</v>
      </c>
      <c r="Q21" s="79"/>
      <c r="R21" s="80"/>
      <c r="S21" s="79"/>
      <c r="T21" s="490"/>
    </row>
    <row r="22" spans="1:21" s="81" customFormat="1" ht="51">
      <c r="A22" s="489" t="s">
        <v>56</v>
      </c>
      <c r="B22" s="95" t="s">
        <v>455</v>
      </c>
      <c r="C22" s="77">
        <v>377226.92006999999</v>
      </c>
      <c r="D22" s="78">
        <f t="shared" si="5"/>
        <v>0.10571021999999997</v>
      </c>
      <c r="E22" s="79"/>
      <c r="F22" s="80"/>
      <c r="G22" s="79"/>
      <c r="H22" s="80"/>
      <c r="I22" s="79">
        <v>0.2</v>
      </c>
      <c r="J22" s="80">
        <f t="shared" si="3"/>
        <v>75445.384013999996</v>
      </c>
      <c r="K22" s="79">
        <v>0.2</v>
      </c>
      <c r="L22" s="80">
        <f t="shared" si="4"/>
        <v>75445.384013999996</v>
      </c>
      <c r="M22" s="79">
        <v>0.2</v>
      </c>
      <c r="N22" s="80">
        <f t="shared" si="6"/>
        <v>75445.384013999996</v>
      </c>
      <c r="O22" s="79">
        <v>0.2</v>
      </c>
      <c r="P22" s="80">
        <f t="shared" si="7"/>
        <v>75445.384013999996</v>
      </c>
      <c r="Q22" s="79">
        <v>0.2</v>
      </c>
      <c r="R22" s="80">
        <f t="shared" ref="R22:R36" si="8">Q22*C22</f>
        <v>75445.384013999996</v>
      </c>
      <c r="S22" s="79"/>
      <c r="T22" s="490"/>
    </row>
    <row r="23" spans="1:21">
      <c r="A23" s="487" t="s">
        <v>57</v>
      </c>
      <c r="B23" s="499" t="s">
        <v>388</v>
      </c>
      <c r="C23" s="45">
        <v>123771.42413999999</v>
      </c>
      <c r="D23" s="78">
        <f t="shared" si="5"/>
        <v>3.468443999999999E-2</v>
      </c>
      <c r="E23" s="79"/>
      <c r="F23" s="80"/>
      <c r="G23" s="79"/>
      <c r="H23" s="80"/>
      <c r="I23" s="79"/>
      <c r="J23" s="80"/>
      <c r="K23" s="79">
        <v>0.25</v>
      </c>
      <c r="L23" s="80">
        <f t="shared" si="4"/>
        <v>30942.856034999997</v>
      </c>
      <c r="M23" s="79">
        <v>0.25</v>
      </c>
      <c r="N23" s="80">
        <f t="shared" si="6"/>
        <v>30942.856034999997</v>
      </c>
      <c r="O23" s="79">
        <v>0.25</v>
      </c>
      <c r="P23" s="80">
        <f t="shared" si="7"/>
        <v>30942.856034999997</v>
      </c>
      <c r="Q23" s="79">
        <v>0.25</v>
      </c>
      <c r="R23" s="80">
        <f t="shared" si="8"/>
        <v>30942.856034999997</v>
      </c>
      <c r="S23" s="79"/>
      <c r="T23" s="490"/>
    </row>
    <row r="24" spans="1:21">
      <c r="A24" s="487" t="s">
        <v>389</v>
      </c>
      <c r="B24" s="499" t="s">
        <v>390</v>
      </c>
      <c r="C24" s="45">
        <v>142297.72010999999</v>
      </c>
      <c r="D24" s="78">
        <f t="shared" si="5"/>
        <v>3.9876059999999991E-2</v>
      </c>
      <c r="E24" s="79"/>
      <c r="F24" s="80"/>
      <c r="G24" s="79"/>
      <c r="H24" s="80"/>
      <c r="I24" s="79"/>
      <c r="J24" s="80"/>
      <c r="K24" s="79"/>
      <c r="L24" s="80"/>
      <c r="M24" s="79"/>
      <c r="N24" s="80"/>
      <c r="O24" s="79">
        <v>0.25</v>
      </c>
      <c r="P24" s="80">
        <f>O24*C24</f>
        <v>35574.430027499999</v>
      </c>
      <c r="Q24" s="79">
        <v>0.5</v>
      </c>
      <c r="R24" s="80">
        <f>Q24*C24</f>
        <v>71148.860054999997</v>
      </c>
      <c r="S24" s="79">
        <v>0.25</v>
      </c>
      <c r="T24" s="490">
        <f t="shared" ref="T24:T28" si="9">S24*C24</f>
        <v>35574.430027499999</v>
      </c>
    </row>
    <row r="25" spans="1:21" s="81" customFormat="1" ht="38.25">
      <c r="A25" s="489" t="s">
        <v>391</v>
      </c>
      <c r="B25" s="82" t="s">
        <v>459</v>
      </c>
      <c r="C25" s="77">
        <v>259368.14358</v>
      </c>
      <c r="D25" s="78">
        <f t="shared" si="5"/>
        <v>7.2682679999999986E-2</v>
      </c>
      <c r="E25" s="79"/>
      <c r="F25" s="80"/>
      <c r="G25" s="79"/>
      <c r="H25" s="80"/>
      <c r="I25" s="79"/>
      <c r="J25" s="80"/>
      <c r="K25" s="79"/>
      <c r="L25" s="80"/>
      <c r="M25" s="79">
        <v>0.25</v>
      </c>
      <c r="N25" s="80">
        <f>M25*C25</f>
        <v>64842.035895000001</v>
      </c>
      <c r="O25" s="79">
        <v>0.5</v>
      </c>
      <c r="P25" s="80">
        <f>O25*C25</f>
        <v>129684.07179</v>
      </c>
      <c r="Q25" s="79">
        <v>0.25</v>
      </c>
      <c r="R25" s="80">
        <f t="shared" si="8"/>
        <v>64842.035895000001</v>
      </c>
      <c r="S25" s="79"/>
      <c r="T25" s="490"/>
    </row>
    <row r="26" spans="1:21" ht="25.5">
      <c r="A26" s="487" t="s">
        <v>392</v>
      </c>
      <c r="B26" s="499" t="s">
        <v>393</v>
      </c>
      <c r="C26" s="45">
        <v>87507.185219999999</v>
      </c>
      <c r="D26" s="78">
        <f t="shared" si="5"/>
        <v>2.4522119999999994E-2</v>
      </c>
      <c r="E26" s="79"/>
      <c r="F26" s="80"/>
      <c r="G26" s="79"/>
      <c r="H26" s="80"/>
      <c r="I26" s="79"/>
      <c r="J26" s="80"/>
      <c r="K26" s="79"/>
      <c r="L26" s="80"/>
      <c r="M26" s="79">
        <v>0.25</v>
      </c>
      <c r="N26" s="80">
        <f t="shared" si="6"/>
        <v>21876.796305</v>
      </c>
      <c r="O26" s="79">
        <v>0.25</v>
      </c>
      <c r="P26" s="80">
        <f t="shared" si="7"/>
        <v>21876.796305</v>
      </c>
      <c r="Q26" s="79">
        <v>0.25</v>
      </c>
      <c r="R26" s="80">
        <f t="shared" si="8"/>
        <v>21876.796305</v>
      </c>
      <c r="S26" s="79">
        <v>0.25</v>
      </c>
      <c r="T26" s="490">
        <f t="shared" si="9"/>
        <v>21876.796305</v>
      </c>
    </row>
    <row r="27" spans="1:21" ht="25.5">
      <c r="A27" s="487" t="s">
        <v>394</v>
      </c>
      <c r="B27" s="499" t="s">
        <v>399</v>
      </c>
      <c r="C27" s="45">
        <v>44147.769119999997</v>
      </c>
      <c r="D27" s="78">
        <f t="shared" si="5"/>
        <v>1.2371519999999995E-2</v>
      </c>
      <c r="E27" s="79"/>
      <c r="F27" s="80"/>
      <c r="G27" s="79"/>
      <c r="H27" s="80"/>
      <c r="I27" s="79"/>
      <c r="J27" s="80"/>
      <c r="K27" s="79"/>
      <c r="L27" s="80"/>
      <c r="M27" s="79"/>
      <c r="N27" s="80"/>
      <c r="O27" s="79">
        <v>0.25</v>
      </c>
      <c r="P27" s="80">
        <f t="shared" si="7"/>
        <v>11036.942279999999</v>
      </c>
      <c r="Q27" s="79">
        <v>0.5</v>
      </c>
      <c r="R27" s="80">
        <f t="shared" si="8"/>
        <v>22073.884559999999</v>
      </c>
      <c r="S27" s="79">
        <v>0.25</v>
      </c>
      <c r="T27" s="490">
        <f t="shared" si="9"/>
        <v>11036.942279999999</v>
      </c>
    </row>
    <row r="28" spans="1:21" ht="25.5">
      <c r="A28" s="487" t="s">
        <v>395</v>
      </c>
      <c r="B28" s="499" t="s">
        <v>40</v>
      </c>
      <c r="C28" s="45">
        <v>13599.089594999999</v>
      </c>
      <c r="D28" s="78">
        <f t="shared" si="5"/>
        <v>3.8108699999999988E-3</v>
      </c>
      <c r="E28" s="79"/>
      <c r="F28" s="80"/>
      <c r="G28" s="79"/>
      <c r="H28" s="80"/>
      <c r="I28" s="79"/>
      <c r="J28" s="80"/>
      <c r="K28" s="79"/>
      <c r="L28" s="80"/>
      <c r="M28" s="79"/>
      <c r="N28" s="80"/>
      <c r="O28" s="79"/>
      <c r="P28" s="80"/>
      <c r="Q28" s="79">
        <v>0.5</v>
      </c>
      <c r="R28" s="80">
        <f>Q28*C28</f>
        <v>6799.5447974999997</v>
      </c>
      <c r="S28" s="79">
        <v>0.5</v>
      </c>
      <c r="T28" s="490">
        <f t="shared" si="9"/>
        <v>6799.5447974999997</v>
      </c>
    </row>
    <row r="29" spans="1:21">
      <c r="A29" s="485">
        <v>3</v>
      </c>
      <c r="B29" s="498" t="s">
        <v>179</v>
      </c>
      <c r="C29" s="51"/>
      <c r="D29" s="83"/>
      <c r="E29" s="502"/>
      <c r="F29" s="89"/>
      <c r="G29" s="502"/>
      <c r="H29" s="89"/>
      <c r="I29" s="502"/>
      <c r="J29" s="89"/>
      <c r="K29" s="502"/>
      <c r="L29" s="89"/>
      <c r="M29" s="502"/>
      <c r="N29" s="89"/>
      <c r="O29" s="502"/>
      <c r="P29" s="89"/>
      <c r="Q29" s="502"/>
      <c r="R29" s="89"/>
      <c r="S29" s="502"/>
      <c r="T29" s="503"/>
    </row>
    <row r="30" spans="1:21">
      <c r="A30" s="487" t="s">
        <v>3</v>
      </c>
      <c r="B30" s="499" t="s">
        <v>180</v>
      </c>
      <c r="C30" s="45">
        <v>29132.074237499997</v>
      </c>
      <c r="D30" s="78">
        <f t="shared" si="5"/>
        <v>8.163674999999997E-3</v>
      </c>
      <c r="E30" s="79"/>
      <c r="F30" s="80"/>
      <c r="G30" s="79">
        <v>0.5</v>
      </c>
      <c r="H30" s="80">
        <f t="shared" ref="H30:H32" si="10">G30*C30</f>
        <v>14566.037118749999</v>
      </c>
      <c r="I30" s="79">
        <v>0.5</v>
      </c>
      <c r="J30" s="80">
        <f t="shared" ref="J30:J32" si="11">I30*C30</f>
        <v>14566.037118749999</v>
      </c>
      <c r="K30" s="79"/>
      <c r="L30" s="80"/>
      <c r="M30" s="79"/>
      <c r="N30" s="80"/>
      <c r="O30" s="79"/>
      <c r="P30" s="80"/>
      <c r="Q30" s="79"/>
      <c r="R30" s="80"/>
      <c r="S30" s="79"/>
      <c r="T30" s="490"/>
    </row>
    <row r="31" spans="1:21">
      <c r="A31" s="487" t="s">
        <v>77</v>
      </c>
      <c r="B31" s="499" t="s">
        <v>396</v>
      </c>
      <c r="C31" s="45">
        <v>239455.00361249998</v>
      </c>
      <c r="D31" s="78">
        <f t="shared" si="5"/>
        <v>6.7102424999999979E-2</v>
      </c>
      <c r="E31" s="79"/>
      <c r="F31" s="80"/>
      <c r="G31" s="79">
        <v>0.75</v>
      </c>
      <c r="H31" s="80">
        <f t="shared" si="10"/>
        <v>179591.252709375</v>
      </c>
      <c r="I31" s="79">
        <v>0.25</v>
      </c>
      <c r="J31" s="80">
        <f t="shared" si="11"/>
        <v>59863.750903124994</v>
      </c>
      <c r="K31" s="79"/>
      <c r="L31" s="80"/>
      <c r="M31" s="79"/>
      <c r="N31" s="80"/>
      <c r="O31" s="79"/>
      <c r="P31" s="80"/>
      <c r="Q31" s="79"/>
      <c r="R31" s="80"/>
      <c r="S31" s="79"/>
      <c r="T31" s="490"/>
    </row>
    <row r="32" spans="1:21" s="81" customFormat="1" ht="51">
      <c r="A32" s="489" t="s">
        <v>4</v>
      </c>
      <c r="B32" s="82" t="s">
        <v>466</v>
      </c>
      <c r="C32" s="77">
        <v>336318.36761249998</v>
      </c>
      <c r="D32" s="78">
        <f t="shared" si="5"/>
        <v>9.4246424999999967E-2</v>
      </c>
      <c r="E32" s="79"/>
      <c r="F32" s="80"/>
      <c r="G32" s="79">
        <v>0.1</v>
      </c>
      <c r="H32" s="80">
        <f t="shared" si="10"/>
        <v>33631.836761250001</v>
      </c>
      <c r="I32" s="79">
        <v>0.2</v>
      </c>
      <c r="J32" s="80">
        <f t="shared" si="11"/>
        <v>67263.673522500001</v>
      </c>
      <c r="K32" s="79">
        <v>0.2</v>
      </c>
      <c r="L32" s="80">
        <f>K32*C32</f>
        <v>67263.673522500001</v>
      </c>
      <c r="M32" s="79">
        <v>0.2</v>
      </c>
      <c r="N32" s="80">
        <f>C32*M32</f>
        <v>67263.673522500001</v>
      </c>
      <c r="O32" s="79">
        <v>0.3</v>
      </c>
      <c r="P32" s="80">
        <f t="shared" si="7"/>
        <v>100895.51028374999</v>
      </c>
      <c r="Q32" s="79"/>
      <c r="R32" s="80"/>
      <c r="S32" s="79"/>
      <c r="T32" s="490"/>
    </row>
    <row r="33" spans="1:20">
      <c r="A33" s="487" t="s">
        <v>172</v>
      </c>
      <c r="B33" s="499" t="s">
        <v>181</v>
      </c>
      <c r="C33" s="45">
        <v>168790.67448749999</v>
      </c>
      <c r="D33" s="78">
        <f t="shared" si="5"/>
        <v>4.7300174999999986E-2</v>
      </c>
      <c r="E33" s="79"/>
      <c r="F33" s="80"/>
      <c r="G33" s="79"/>
      <c r="H33" s="80"/>
      <c r="I33" s="79"/>
      <c r="J33" s="80"/>
      <c r="K33" s="79"/>
      <c r="L33" s="80"/>
      <c r="M33" s="79"/>
      <c r="N33" s="80"/>
      <c r="O33" s="79">
        <v>0.25</v>
      </c>
      <c r="P33" s="80">
        <f t="shared" si="7"/>
        <v>42197.668621874996</v>
      </c>
      <c r="Q33" s="79">
        <v>0.5</v>
      </c>
      <c r="R33" s="80">
        <f t="shared" si="8"/>
        <v>84395.337243749993</v>
      </c>
      <c r="S33" s="79">
        <v>0.25</v>
      </c>
      <c r="T33" s="490">
        <f t="shared" ref="T33:T37" si="12">S33*C33</f>
        <v>42197.668621874996</v>
      </c>
    </row>
    <row r="34" spans="1:20">
      <c r="A34" s="487" t="s">
        <v>173</v>
      </c>
      <c r="B34" s="499" t="s">
        <v>469</v>
      </c>
      <c r="C34" s="45">
        <v>110860.53761249999</v>
      </c>
      <c r="D34" s="78">
        <f t="shared" si="5"/>
        <v>3.1066424999999988E-2</v>
      </c>
      <c r="E34" s="79"/>
      <c r="F34" s="80"/>
      <c r="G34" s="79"/>
      <c r="H34" s="80"/>
      <c r="I34" s="79"/>
      <c r="J34" s="80"/>
      <c r="K34" s="79"/>
      <c r="L34" s="80"/>
      <c r="M34" s="79"/>
      <c r="N34" s="80"/>
      <c r="O34" s="79"/>
      <c r="P34" s="80"/>
      <c r="Q34" s="79">
        <v>0.5</v>
      </c>
      <c r="R34" s="80">
        <f t="shared" si="8"/>
        <v>55430.268806249995</v>
      </c>
      <c r="S34" s="79">
        <v>0.5</v>
      </c>
      <c r="T34" s="490">
        <f t="shared" si="12"/>
        <v>55430.268806249995</v>
      </c>
    </row>
    <row r="35" spans="1:20">
      <c r="A35" s="487" t="s">
        <v>174</v>
      </c>
      <c r="B35" s="499" t="s">
        <v>397</v>
      </c>
      <c r="C35" s="45">
        <v>121507.15736249999</v>
      </c>
      <c r="D35" s="78">
        <f t="shared" si="5"/>
        <v>3.4049924999999988E-2</v>
      </c>
      <c r="E35" s="79"/>
      <c r="F35" s="80"/>
      <c r="G35" s="79"/>
      <c r="H35" s="80"/>
      <c r="I35" s="79"/>
      <c r="J35" s="80"/>
      <c r="K35" s="79"/>
      <c r="L35" s="80"/>
      <c r="M35" s="79"/>
      <c r="N35" s="80"/>
      <c r="O35" s="79">
        <v>0.15</v>
      </c>
      <c r="P35" s="80">
        <f>O35*C35</f>
        <v>18226.073604374997</v>
      </c>
      <c r="Q35" s="79">
        <v>0.6</v>
      </c>
      <c r="R35" s="80">
        <f t="shared" si="8"/>
        <v>72904.294417499987</v>
      </c>
      <c r="S35" s="79">
        <v>0.25</v>
      </c>
      <c r="T35" s="490">
        <f t="shared" si="12"/>
        <v>30376.789340624997</v>
      </c>
    </row>
    <row r="36" spans="1:20" ht="25.5">
      <c r="A36" s="487" t="s">
        <v>175</v>
      </c>
      <c r="B36" s="499" t="s">
        <v>398</v>
      </c>
      <c r="C36" s="45">
        <v>23391.249862499997</v>
      </c>
      <c r="D36" s="78">
        <f t="shared" si="5"/>
        <v>6.5549249999999979E-3</v>
      </c>
      <c r="E36" s="79"/>
      <c r="F36" s="80"/>
      <c r="G36" s="79"/>
      <c r="H36" s="80"/>
      <c r="I36" s="79"/>
      <c r="J36" s="80"/>
      <c r="K36" s="79"/>
      <c r="L36" s="80"/>
      <c r="M36" s="79"/>
      <c r="N36" s="80"/>
      <c r="O36" s="79"/>
      <c r="P36" s="80"/>
      <c r="Q36" s="79">
        <v>0.5</v>
      </c>
      <c r="R36" s="80">
        <f t="shared" si="8"/>
        <v>11695.624931249999</v>
      </c>
      <c r="S36" s="79">
        <v>0.5</v>
      </c>
      <c r="T36" s="490">
        <f t="shared" si="12"/>
        <v>11695.624931249999</v>
      </c>
    </row>
    <row r="37" spans="1:20">
      <c r="A37" s="487" t="s">
        <v>430</v>
      </c>
      <c r="B37" s="499" t="s">
        <v>473</v>
      </c>
      <c r="C37" s="45">
        <v>14331.185212499997</v>
      </c>
      <c r="D37" s="78">
        <f t="shared" si="5"/>
        <v>4.0160249999999977E-3</v>
      </c>
      <c r="E37" s="79"/>
      <c r="F37" s="80"/>
      <c r="G37" s="79"/>
      <c r="H37" s="80"/>
      <c r="I37" s="79"/>
      <c r="J37" s="80">
        <f t="shared" ref="J37" si="13">I37*C37</f>
        <v>0</v>
      </c>
      <c r="K37" s="79"/>
      <c r="L37" s="80">
        <f>K37*C37</f>
        <v>0</v>
      </c>
      <c r="M37" s="79"/>
      <c r="N37" s="80"/>
      <c r="O37" s="79"/>
      <c r="P37" s="80"/>
      <c r="Q37" s="79"/>
      <c r="R37" s="80"/>
      <c r="S37" s="79">
        <v>1</v>
      </c>
      <c r="T37" s="490">
        <f t="shared" si="12"/>
        <v>14331.185212499997</v>
      </c>
    </row>
    <row r="38" spans="1:20" ht="38.25">
      <c r="A38" s="485">
        <v>4</v>
      </c>
      <c r="B38" s="498" t="s">
        <v>475</v>
      </c>
      <c r="C38" s="51"/>
      <c r="D38" s="51"/>
      <c r="E38" s="502"/>
      <c r="F38" s="89"/>
      <c r="G38" s="502"/>
      <c r="H38" s="89"/>
      <c r="I38" s="502"/>
      <c r="J38" s="89"/>
      <c r="K38" s="502"/>
      <c r="L38" s="89"/>
      <c r="M38" s="502"/>
      <c r="N38" s="89"/>
      <c r="O38" s="502"/>
      <c r="P38" s="89"/>
      <c r="Q38" s="502"/>
      <c r="R38" s="89"/>
      <c r="S38" s="502"/>
      <c r="T38" s="503"/>
    </row>
    <row r="39" spans="1:20" ht="25.5">
      <c r="A39" s="487" t="s">
        <v>5</v>
      </c>
      <c r="B39" s="499" t="s">
        <v>476</v>
      </c>
      <c r="C39" s="45">
        <v>125732.88585000001</v>
      </c>
      <c r="D39" s="78">
        <f t="shared" si="5"/>
        <v>3.523409999999999E-2</v>
      </c>
      <c r="E39" s="79"/>
      <c r="F39" s="80"/>
      <c r="G39" s="79">
        <v>0.05</v>
      </c>
      <c r="H39" s="80">
        <f>C39*G39</f>
        <v>6286.644292500001</v>
      </c>
      <c r="I39" s="79">
        <v>0.4</v>
      </c>
      <c r="J39" s="80">
        <f>I39*C39</f>
        <v>50293.154340000008</v>
      </c>
      <c r="K39" s="79">
        <v>0.3</v>
      </c>
      <c r="L39" s="80">
        <f>C39*K39</f>
        <v>37719.865754999999</v>
      </c>
      <c r="M39" s="79">
        <v>0.25</v>
      </c>
      <c r="N39" s="80">
        <f>C39*M39</f>
        <v>31433.221462500002</v>
      </c>
      <c r="O39" s="79"/>
      <c r="P39" s="80"/>
      <c r="Q39" s="79"/>
      <c r="R39" s="80"/>
      <c r="S39" s="79"/>
      <c r="T39" s="490"/>
    </row>
    <row r="40" spans="1:20">
      <c r="A40" s="487" t="s">
        <v>9</v>
      </c>
      <c r="B40" s="499" t="s">
        <v>478</v>
      </c>
      <c r="C40" s="45">
        <v>19607.123250000001</v>
      </c>
      <c r="D40" s="78">
        <f t="shared" si="5"/>
        <v>5.4944999999999985E-3</v>
      </c>
      <c r="E40" s="79"/>
      <c r="F40" s="80"/>
      <c r="G40" s="79"/>
      <c r="H40" s="80"/>
      <c r="I40" s="79">
        <v>0.3</v>
      </c>
      <c r="J40" s="80">
        <f>I40*C40</f>
        <v>5882.1369750000003</v>
      </c>
      <c r="K40" s="79">
        <v>0.7</v>
      </c>
      <c r="L40" s="80">
        <f t="shared" ref="L40:L41" si="14">C40*K40</f>
        <v>13724.986274999999</v>
      </c>
      <c r="M40" s="79"/>
      <c r="N40" s="80"/>
      <c r="O40" s="79"/>
      <c r="P40" s="80"/>
      <c r="Q40" s="79"/>
      <c r="R40" s="80"/>
      <c r="S40" s="79"/>
      <c r="T40" s="490"/>
    </row>
    <row r="41" spans="1:20">
      <c r="A41" s="487" t="s">
        <v>432</v>
      </c>
      <c r="B41" s="499" t="s">
        <v>479</v>
      </c>
      <c r="C41" s="45">
        <v>5263.8943499999996</v>
      </c>
      <c r="D41" s="78">
        <f t="shared" si="5"/>
        <v>1.4750999999999996E-3</v>
      </c>
      <c r="E41" s="79"/>
      <c r="F41" s="80"/>
      <c r="G41" s="79"/>
      <c r="H41" s="80"/>
      <c r="I41" s="79"/>
      <c r="J41" s="80"/>
      <c r="K41" s="79">
        <v>1</v>
      </c>
      <c r="L41" s="80">
        <f t="shared" si="14"/>
        <v>5263.8943499999996</v>
      </c>
      <c r="M41" s="79"/>
      <c r="N41" s="80"/>
      <c r="O41" s="79"/>
      <c r="P41" s="80"/>
      <c r="Q41" s="79"/>
      <c r="R41" s="80"/>
      <c r="S41" s="79"/>
      <c r="T41" s="490"/>
    </row>
    <row r="42" spans="1:20" ht="25.5">
      <c r="A42" s="487" t="s">
        <v>433</v>
      </c>
      <c r="B42" s="499" t="s">
        <v>480</v>
      </c>
      <c r="C42" s="45">
        <v>20737.624050000002</v>
      </c>
      <c r="D42" s="78">
        <f t="shared" si="5"/>
        <v>5.8112999999999993E-3</v>
      </c>
      <c r="E42" s="79"/>
      <c r="F42" s="80"/>
      <c r="G42" s="79"/>
      <c r="H42" s="80"/>
      <c r="I42" s="79"/>
      <c r="J42" s="80"/>
      <c r="K42" s="79"/>
      <c r="L42" s="80"/>
      <c r="M42" s="79"/>
      <c r="N42" s="80"/>
      <c r="O42" s="79"/>
      <c r="P42" s="80"/>
      <c r="Q42" s="79"/>
      <c r="R42" s="80"/>
      <c r="S42" s="79">
        <v>1</v>
      </c>
      <c r="T42" s="490">
        <f>S42*C42</f>
        <v>20737.624050000002</v>
      </c>
    </row>
    <row r="43" spans="1:20">
      <c r="A43" s="487" t="s">
        <v>481</v>
      </c>
      <c r="B43" s="499" t="s">
        <v>482</v>
      </c>
      <c r="C43" s="45">
        <v>42829.493850000006</v>
      </c>
      <c r="D43" s="78">
        <f t="shared" si="5"/>
        <v>1.2002099999999998E-2</v>
      </c>
      <c r="E43" s="79"/>
      <c r="F43" s="80"/>
      <c r="G43" s="79"/>
      <c r="H43" s="80"/>
      <c r="I43" s="79"/>
      <c r="J43" s="80"/>
      <c r="K43" s="79"/>
      <c r="L43" s="80"/>
      <c r="M43" s="79"/>
      <c r="N43" s="80"/>
      <c r="O43" s="79"/>
      <c r="P43" s="80"/>
      <c r="Q43" s="79">
        <v>0.2</v>
      </c>
      <c r="R43" s="80">
        <f>Q43*C43</f>
        <v>8565.8987700000016</v>
      </c>
      <c r="S43" s="79">
        <v>0.8</v>
      </c>
      <c r="T43" s="490">
        <f t="shared" ref="T43:T44" si="15">S43*C43</f>
        <v>34263.595080000006</v>
      </c>
    </row>
    <row r="44" spans="1:20">
      <c r="A44" s="487" t="s">
        <v>483</v>
      </c>
      <c r="B44" s="499" t="s">
        <v>484</v>
      </c>
      <c r="C44" s="45">
        <v>21349.978649999997</v>
      </c>
      <c r="D44" s="78">
        <f t="shared" si="5"/>
        <v>5.9828999999999976E-3</v>
      </c>
      <c r="E44" s="79"/>
      <c r="F44" s="80"/>
      <c r="G44" s="79"/>
      <c r="H44" s="80"/>
      <c r="I44" s="79"/>
      <c r="J44" s="80"/>
      <c r="K44" s="79"/>
      <c r="L44" s="80"/>
      <c r="M44" s="79"/>
      <c r="N44" s="80"/>
      <c r="O44" s="79"/>
      <c r="P44" s="80"/>
      <c r="Q44" s="79"/>
      <c r="R44" s="80"/>
      <c r="S44" s="79">
        <v>1</v>
      </c>
      <c r="T44" s="490">
        <f t="shared" si="15"/>
        <v>21349.978649999997</v>
      </c>
    </row>
    <row r="45" spans="1:20">
      <c r="A45" s="485"/>
      <c r="B45" s="498" t="s">
        <v>187</v>
      </c>
      <c r="C45" s="54">
        <f>SUM(C14:C44)</f>
        <v>3568500.0000000009</v>
      </c>
      <c r="D45" s="84">
        <f>SUM(D14:D44)</f>
        <v>0.99999999999999967</v>
      </c>
      <c r="E45" s="55">
        <f>F45/$C$45</f>
        <v>1.0001995999999997E-2</v>
      </c>
      <c r="F45" s="54">
        <f>SUM(F14:F44)</f>
        <v>35692.122726000001</v>
      </c>
      <c r="G45" s="55">
        <f>H45/$C$45</f>
        <v>8.0598781949999976E-2</v>
      </c>
      <c r="H45" s="90">
        <f>SUM(H14:H44)</f>
        <v>287616.75338857499</v>
      </c>
      <c r="I45" s="55">
        <f>J45/$C$45</f>
        <v>0.17098886483399997</v>
      </c>
      <c r="J45" s="54">
        <f>SUM(J14:J44)</f>
        <v>610173.76416012901</v>
      </c>
      <c r="K45" s="55">
        <f>L45/$C$45</f>
        <v>0.16692717310799995</v>
      </c>
      <c r="L45" s="54">
        <f>SUM(L14:L44)</f>
        <v>595679.61723589804</v>
      </c>
      <c r="M45" s="55">
        <f>N45/$C$45</f>
        <v>0.15638591025199997</v>
      </c>
      <c r="N45" s="54">
        <f>SUM(N14:N44)</f>
        <v>558063.12073426205</v>
      </c>
      <c r="O45" s="55">
        <f>P45/$C$45</f>
        <v>0.15552709589199995</v>
      </c>
      <c r="P45" s="90">
        <f>SUM(P14:P44)</f>
        <v>554998.44169060199</v>
      </c>
      <c r="Q45" s="55">
        <f>R45/$C$45</f>
        <v>0.15856463757999995</v>
      </c>
      <c r="R45" s="54">
        <f>SUM(R14:R44)</f>
        <v>565837.90920422995</v>
      </c>
      <c r="S45" s="55">
        <f>T45/$C$45</f>
        <v>0.10100554038399996</v>
      </c>
      <c r="T45" s="491">
        <f>SUM(T14:T44)</f>
        <v>360438.27086030395</v>
      </c>
    </row>
    <row r="46" spans="1:20" s="37" customFormat="1" ht="13.5" thickBot="1">
      <c r="A46" s="492"/>
      <c r="B46" s="501" t="s">
        <v>188</v>
      </c>
      <c r="C46" s="493"/>
      <c r="D46" s="494"/>
      <c r="E46" s="495">
        <f>F46/$C$45</f>
        <v>1.0001995999999997E-2</v>
      </c>
      <c r="F46" s="493">
        <f>F45</f>
        <v>35692.122726000001</v>
      </c>
      <c r="G46" s="495">
        <f>H46/$C$45</f>
        <v>9.0600777949999961E-2</v>
      </c>
      <c r="H46" s="496">
        <f>F46+H45</f>
        <v>323308.87611457496</v>
      </c>
      <c r="I46" s="495">
        <f>J46/$C$45</f>
        <v>0.26158964278399993</v>
      </c>
      <c r="J46" s="493">
        <f>H46+J45</f>
        <v>933482.64027470397</v>
      </c>
      <c r="K46" s="495">
        <f>L46/$C$45</f>
        <v>0.42851681589199991</v>
      </c>
      <c r="L46" s="493">
        <f>J46+L45</f>
        <v>1529162.257510602</v>
      </c>
      <c r="M46" s="495">
        <f>N46/$C$45</f>
        <v>0.58490272614399985</v>
      </c>
      <c r="N46" s="493">
        <f>L46+N45</f>
        <v>2087225.3782448641</v>
      </c>
      <c r="O46" s="495">
        <f>P46/$C$45</f>
        <v>0.74042982203599983</v>
      </c>
      <c r="P46" s="496">
        <f>N46+P45</f>
        <v>2642223.8199354662</v>
      </c>
      <c r="Q46" s="495">
        <f>R46/$C$45</f>
        <v>0.89899445961599977</v>
      </c>
      <c r="R46" s="493">
        <f>P46+R45</f>
        <v>3208061.7291396959</v>
      </c>
      <c r="S46" s="495">
        <f>T46/$C$45</f>
        <v>0.99999999999999978</v>
      </c>
      <c r="T46" s="497">
        <f>R46+T45</f>
        <v>3568500</v>
      </c>
    </row>
    <row r="49" spans="18:20">
      <c r="R49" s="431" t="s">
        <v>178</v>
      </c>
      <c r="S49" s="431"/>
      <c r="T49" s="431"/>
    </row>
    <row r="50" spans="18:20">
      <c r="R50" s="430" t="s">
        <v>790</v>
      </c>
      <c r="S50" s="430"/>
      <c r="T50" s="430"/>
    </row>
    <row r="51" spans="18:20">
      <c r="R51" s="430" t="s">
        <v>791</v>
      </c>
      <c r="S51" s="430"/>
      <c r="T51" s="430"/>
    </row>
    <row r="52" spans="18:20">
      <c r="R52" s="430" t="s">
        <v>177</v>
      </c>
      <c r="S52" s="430"/>
      <c r="T52" s="430"/>
    </row>
    <row r="53" spans="18:20">
      <c r="R53" s="557" t="s">
        <v>792</v>
      </c>
      <c r="S53" s="557"/>
      <c r="T53" s="557"/>
    </row>
    <row r="54" spans="18:20">
      <c r="R54" s="35"/>
      <c r="S54" s="35"/>
      <c r="T54" s="35"/>
    </row>
  </sheetData>
  <mergeCells count="17">
    <mergeCell ref="S11:T11"/>
    <mergeCell ref="R53:T53"/>
    <mergeCell ref="C10:C12"/>
    <mergeCell ref="B10:B12"/>
    <mergeCell ref="A10:A12"/>
    <mergeCell ref="A2:T2"/>
    <mergeCell ref="A4:T4"/>
    <mergeCell ref="O10:T10"/>
    <mergeCell ref="D10:D12"/>
    <mergeCell ref="E10:N10"/>
    <mergeCell ref="E11:F11"/>
    <mergeCell ref="G11:H11"/>
    <mergeCell ref="I11:J11"/>
    <mergeCell ref="K11:L11"/>
    <mergeCell ref="M11:N11"/>
    <mergeCell ref="O11:P11"/>
    <mergeCell ref="Q11:R11"/>
  </mergeCells>
  <phoneticPr fontId="71" type="noConversion"/>
  <pageMargins left="0.25" right="0.25" top="0.75" bottom="0.75" header="0.3" footer="0.3"/>
  <pageSetup paperSize="9" scale="52" fitToWidth="0" orientation="landscape" horizontalDpi="360" verticalDpi="360" r:id="rId1"/>
  <headerFooter>
    <oddFooter>&amp;R&amp;9&amp;Um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26FD5-FB1B-48C9-BC34-AF5A530657ED}">
  <sheetPr>
    <tabColor theme="0"/>
    <pageSetUpPr fitToPage="1"/>
  </sheetPr>
  <dimension ref="A1:N38"/>
  <sheetViews>
    <sheetView view="pageBreakPreview" topLeftCell="A13" zoomScale="110" zoomScaleNormal="80" zoomScaleSheetLayoutView="110" workbookViewId="0">
      <selection activeCell="D52" sqref="D52"/>
    </sheetView>
  </sheetViews>
  <sheetFormatPr defaultRowHeight="15"/>
  <cols>
    <col min="1" max="1" width="13.7109375" style="350" bestFit="1" customWidth="1"/>
    <col min="2" max="2" width="20" style="350" bestFit="1" customWidth="1"/>
    <col min="3" max="3" width="78.85546875" style="351" customWidth="1"/>
    <col min="4" max="4" width="20.85546875" style="352" customWidth="1"/>
    <col min="5" max="5" width="14" style="353" customWidth="1"/>
    <col min="6" max="6" width="20.140625" style="354" customWidth="1"/>
    <col min="7" max="8" width="17.28515625" style="355" customWidth="1"/>
    <col min="9" max="9" width="17.28515625" style="356" customWidth="1"/>
    <col min="10" max="10" width="13.42578125" style="311" bestFit="1" customWidth="1"/>
    <col min="11" max="11" width="11" style="311" bestFit="1" customWidth="1"/>
    <col min="12" max="12" width="35.42578125" style="311" customWidth="1"/>
    <col min="13" max="256" width="9.140625" style="311"/>
    <col min="257" max="257" width="13.7109375" style="311" bestFit="1" customWidth="1"/>
    <col min="258" max="258" width="18.85546875" style="311" customWidth="1"/>
    <col min="259" max="259" width="78.85546875" style="311" customWidth="1"/>
    <col min="260" max="260" width="20.85546875" style="311" customWidth="1"/>
    <col min="261" max="261" width="14" style="311" customWidth="1"/>
    <col min="262" max="262" width="20.140625" style="311" customWidth="1"/>
    <col min="263" max="265" width="17.28515625" style="311" customWidth="1"/>
    <col min="266" max="266" width="13.42578125" style="311" bestFit="1" customWidth="1"/>
    <col min="267" max="267" width="11" style="311" bestFit="1" customWidth="1"/>
    <col min="268" max="268" width="35.42578125" style="311" customWidth="1"/>
    <col min="269" max="512" width="9.140625" style="311"/>
    <col min="513" max="513" width="13.7109375" style="311" bestFit="1" customWidth="1"/>
    <col min="514" max="514" width="18.85546875" style="311" customWidth="1"/>
    <col min="515" max="515" width="78.85546875" style="311" customWidth="1"/>
    <col min="516" max="516" width="20.85546875" style="311" customWidth="1"/>
    <col min="517" max="517" width="14" style="311" customWidth="1"/>
    <col min="518" max="518" width="20.140625" style="311" customWidth="1"/>
    <col min="519" max="521" width="17.28515625" style="311" customWidth="1"/>
    <col min="522" max="522" width="13.42578125" style="311" bestFit="1" customWidth="1"/>
    <col min="523" max="523" width="11" style="311" bestFit="1" customWidth="1"/>
    <col min="524" max="524" width="35.42578125" style="311" customWidth="1"/>
    <col min="525" max="768" width="9.140625" style="311"/>
    <col min="769" max="769" width="13.7109375" style="311" bestFit="1" customWidth="1"/>
    <col min="770" max="770" width="18.85546875" style="311" customWidth="1"/>
    <col min="771" max="771" width="78.85546875" style="311" customWidth="1"/>
    <col min="772" max="772" width="20.85546875" style="311" customWidth="1"/>
    <col min="773" max="773" width="14" style="311" customWidth="1"/>
    <col min="774" max="774" width="20.140625" style="311" customWidth="1"/>
    <col min="775" max="777" width="17.28515625" style="311" customWidth="1"/>
    <col min="778" max="778" width="13.42578125" style="311" bestFit="1" customWidth="1"/>
    <col min="779" max="779" width="11" style="311" bestFit="1" customWidth="1"/>
    <col min="780" max="780" width="35.42578125" style="311" customWidth="1"/>
    <col min="781" max="1024" width="9.140625" style="311"/>
    <col min="1025" max="1025" width="13.7109375" style="311" bestFit="1" customWidth="1"/>
    <col min="1026" max="1026" width="18.85546875" style="311" customWidth="1"/>
    <col min="1027" max="1027" width="78.85546875" style="311" customWidth="1"/>
    <col min="1028" max="1028" width="20.85546875" style="311" customWidth="1"/>
    <col min="1029" max="1029" width="14" style="311" customWidth="1"/>
    <col min="1030" max="1030" width="20.140625" style="311" customWidth="1"/>
    <col min="1031" max="1033" width="17.28515625" style="311" customWidth="1"/>
    <col min="1034" max="1034" width="13.42578125" style="311" bestFit="1" customWidth="1"/>
    <col min="1035" max="1035" width="11" style="311" bestFit="1" customWidth="1"/>
    <col min="1036" max="1036" width="35.42578125" style="311" customWidth="1"/>
    <col min="1037" max="1280" width="9.140625" style="311"/>
    <col min="1281" max="1281" width="13.7109375" style="311" bestFit="1" customWidth="1"/>
    <col min="1282" max="1282" width="18.85546875" style="311" customWidth="1"/>
    <col min="1283" max="1283" width="78.85546875" style="311" customWidth="1"/>
    <col min="1284" max="1284" width="20.85546875" style="311" customWidth="1"/>
    <col min="1285" max="1285" width="14" style="311" customWidth="1"/>
    <col min="1286" max="1286" width="20.140625" style="311" customWidth="1"/>
    <col min="1287" max="1289" width="17.28515625" style="311" customWidth="1"/>
    <col min="1290" max="1290" width="13.42578125" style="311" bestFit="1" customWidth="1"/>
    <col min="1291" max="1291" width="11" style="311" bestFit="1" customWidth="1"/>
    <col min="1292" max="1292" width="35.42578125" style="311" customWidth="1"/>
    <col min="1293" max="1536" width="9.140625" style="311"/>
    <col min="1537" max="1537" width="13.7109375" style="311" bestFit="1" customWidth="1"/>
    <col min="1538" max="1538" width="18.85546875" style="311" customWidth="1"/>
    <col min="1539" max="1539" width="78.85546875" style="311" customWidth="1"/>
    <col min="1540" max="1540" width="20.85546875" style="311" customWidth="1"/>
    <col min="1541" max="1541" width="14" style="311" customWidth="1"/>
    <col min="1542" max="1542" width="20.140625" style="311" customWidth="1"/>
    <col min="1543" max="1545" width="17.28515625" style="311" customWidth="1"/>
    <col min="1546" max="1546" width="13.42578125" style="311" bestFit="1" customWidth="1"/>
    <col min="1547" max="1547" width="11" style="311" bestFit="1" customWidth="1"/>
    <col min="1548" max="1548" width="35.42578125" style="311" customWidth="1"/>
    <col min="1549" max="1792" width="9.140625" style="311"/>
    <col min="1793" max="1793" width="13.7109375" style="311" bestFit="1" customWidth="1"/>
    <col min="1794" max="1794" width="18.85546875" style="311" customWidth="1"/>
    <col min="1795" max="1795" width="78.85546875" style="311" customWidth="1"/>
    <col min="1796" max="1796" width="20.85546875" style="311" customWidth="1"/>
    <col min="1797" max="1797" width="14" style="311" customWidth="1"/>
    <col min="1798" max="1798" width="20.140625" style="311" customWidth="1"/>
    <col min="1799" max="1801" width="17.28515625" style="311" customWidth="1"/>
    <col min="1802" max="1802" width="13.42578125" style="311" bestFit="1" customWidth="1"/>
    <col min="1803" max="1803" width="11" style="311" bestFit="1" customWidth="1"/>
    <col min="1804" max="1804" width="35.42578125" style="311" customWidth="1"/>
    <col min="1805" max="2048" width="9.140625" style="311"/>
    <col min="2049" max="2049" width="13.7109375" style="311" bestFit="1" customWidth="1"/>
    <col min="2050" max="2050" width="18.85546875" style="311" customWidth="1"/>
    <col min="2051" max="2051" width="78.85546875" style="311" customWidth="1"/>
    <col min="2052" max="2052" width="20.85546875" style="311" customWidth="1"/>
    <col min="2053" max="2053" width="14" style="311" customWidth="1"/>
    <col min="2054" max="2054" width="20.140625" style="311" customWidth="1"/>
    <col min="2055" max="2057" width="17.28515625" style="311" customWidth="1"/>
    <col min="2058" max="2058" width="13.42578125" style="311" bestFit="1" customWidth="1"/>
    <col min="2059" max="2059" width="11" style="311" bestFit="1" customWidth="1"/>
    <col min="2060" max="2060" width="35.42578125" style="311" customWidth="1"/>
    <col min="2061" max="2304" width="9.140625" style="311"/>
    <col min="2305" max="2305" width="13.7109375" style="311" bestFit="1" customWidth="1"/>
    <col min="2306" max="2306" width="18.85546875" style="311" customWidth="1"/>
    <col min="2307" max="2307" width="78.85546875" style="311" customWidth="1"/>
    <col min="2308" max="2308" width="20.85546875" style="311" customWidth="1"/>
    <col min="2309" max="2309" width="14" style="311" customWidth="1"/>
    <col min="2310" max="2310" width="20.140625" style="311" customWidth="1"/>
    <col min="2311" max="2313" width="17.28515625" style="311" customWidth="1"/>
    <col min="2314" max="2314" width="13.42578125" style="311" bestFit="1" customWidth="1"/>
    <col min="2315" max="2315" width="11" style="311" bestFit="1" customWidth="1"/>
    <col min="2316" max="2316" width="35.42578125" style="311" customWidth="1"/>
    <col min="2317" max="2560" width="9.140625" style="311"/>
    <col min="2561" max="2561" width="13.7109375" style="311" bestFit="1" customWidth="1"/>
    <col min="2562" max="2562" width="18.85546875" style="311" customWidth="1"/>
    <col min="2563" max="2563" width="78.85546875" style="311" customWidth="1"/>
    <col min="2564" max="2564" width="20.85546875" style="311" customWidth="1"/>
    <col min="2565" max="2565" width="14" style="311" customWidth="1"/>
    <col min="2566" max="2566" width="20.140625" style="311" customWidth="1"/>
    <col min="2567" max="2569" width="17.28515625" style="311" customWidth="1"/>
    <col min="2570" max="2570" width="13.42578125" style="311" bestFit="1" customWidth="1"/>
    <col min="2571" max="2571" width="11" style="311" bestFit="1" customWidth="1"/>
    <col min="2572" max="2572" width="35.42578125" style="311" customWidth="1"/>
    <col min="2573" max="2816" width="9.140625" style="311"/>
    <col min="2817" max="2817" width="13.7109375" style="311" bestFit="1" customWidth="1"/>
    <col min="2818" max="2818" width="18.85546875" style="311" customWidth="1"/>
    <col min="2819" max="2819" width="78.85546875" style="311" customWidth="1"/>
    <col min="2820" max="2820" width="20.85546875" style="311" customWidth="1"/>
    <col min="2821" max="2821" width="14" style="311" customWidth="1"/>
    <col min="2822" max="2822" width="20.140625" style="311" customWidth="1"/>
    <col min="2823" max="2825" width="17.28515625" style="311" customWidth="1"/>
    <col min="2826" max="2826" width="13.42578125" style="311" bestFit="1" customWidth="1"/>
    <col min="2827" max="2827" width="11" style="311" bestFit="1" customWidth="1"/>
    <col min="2828" max="2828" width="35.42578125" style="311" customWidth="1"/>
    <col min="2829" max="3072" width="9.140625" style="311"/>
    <col min="3073" max="3073" width="13.7109375" style="311" bestFit="1" customWidth="1"/>
    <col min="3074" max="3074" width="18.85546875" style="311" customWidth="1"/>
    <col min="3075" max="3075" width="78.85546875" style="311" customWidth="1"/>
    <col min="3076" max="3076" width="20.85546875" style="311" customWidth="1"/>
    <col min="3077" max="3077" width="14" style="311" customWidth="1"/>
    <col min="3078" max="3078" width="20.140625" style="311" customWidth="1"/>
    <col min="3079" max="3081" width="17.28515625" style="311" customWidth="1"/>
    <col min="3082" max="3082" width="13.42578125" style="311" bestFit="1" customWidth="1"/>
    <col min="3083" max="3083" width="11" style="311" bestFit="1" customWidth="1"/>
    <col min="3084" max="3084" width="35.42578125" style="311" customWidth="1"/>
    <col min="3085" max="3328" width="9.140625" style="311"/>
    <col min="3329" max="3329" width="13.7109375" style="311" bestFit="1" customWidth="1"/>
    <col min="3330" max="3330" width="18.85546875" style="311" customWidth="1"/>
    <col min="3331" max="3331" width="78.85546875" style="311" customWidth="1"/>
    <col min="3332" max="3332" width="20.85546875" style="311" customWidth="1"/>
    <col min="3333" max="3333" width="14" style="311" customWidth="1"/>
    <col min="3334" max="3334" width="20.140625" style="311" customWidth="1"/>
    <col min="3335" max="3337" width="17.28515625" style="311" customWidth="1"/>
    <col min="3338" max="3338" width="13.42578125" style="311" bestFit="1" customWidth="1"/>
    <col min="3339" max="3339" width="11" style="311" bestFit="1" customWidth="1"/>
    <col min="3340" max="3340" width="35.42578125" style="311" customWidth="1"/>
    <col min="3341" max="3584" width="9.140625" style="311"/>
    <col min="3585" max="3585" width="13.7109375" style="311" bestFit="1" customWidth="1"/>
    <col min="3586" max="3586" width="18.85546875" style="311" customWidth="1"/>
    <col min="3587" max="3587" width="78.85546875" style="311" customWidth="1"/>
    <col min="3588" max="3588" width="20.85546875" style="311" customWidth="1"/>
    <col min="3589" max="3589" width="14" style="311" customWidth="1"/>
    <col min="3590" max="3590" width="20.140625" style="311" customWidth="1"/>
    <col min="3591" max="3593" width="17.28515625" style="311" customWidth="1"/>
    <col min="3594" max="3594" width="13.42578125" style="311" bestFit="1" customWidth="1"/>
    <col min="3595" max="3595" width="11" style="311" bestFit="1" customWidth="1"/>
    <col min="3596" max="3596" width="35.42578125" style="311" customWidth="1"/>
    <col min="3597" max="3840" width="9.140625" style="311"/>
    <col min="3841" max="3841" width="13.7109375" style="311" bestFit="1" customWidth="1"/>
    <col min="3842" max="3842" width="18.85546875" style="311" customWidth="1"/>
    <col min="3843" max="3843" width="78.85546875" style="311" customWidth="1"/>
    <col min="3844" max="3844" width="20.85546875" style="311" customWidth="1"/>
    <col min="3845" max="3845" width="14" style="311" customWidth="1"/>
    <col min="3846" max="3846" width="20.140625" style="311" customWidth="1"/>
    <col min="3847" max="3849" width="17.28515625" style="311" customWidth="1"/>
    <col min="3850" max="3850" width="13.42578125" style="311" bestFit="1" customWidth="1"/>
    <col min="3851" max="3851" width="11" style="311" bestFit="1" customWidth="1"/>
    <col min="3852" max="3852" width="35.42578125" style="311" customWidth="1"/>
    <col min="3853" max="4096" width="9.140625" style="311"/>
    <col min="4097" max="4097" width="13.7109375" style="311" bestFit="1" customWidth="1"/>
    <col min="4098" max="4098" width="18.85546875" style="311" customWidth="1"/>
    <col min="4099" max="4099" width="78.85546875" style="311" customWidth="1"/>
    <col min="4100" max="4100" width="20.85546875" style="311" customWidth="1"/>
    <col min="4101" max="4101" width="14" style="311" customWidth="1"/>
    <col min="4102" max="4102" width="20.140625" style="311" customWidth="1"/>
    <col min="4103" max="4105" width="17.28515625" style="311" customWidth="1"/>
    <col min="4106" max="4106" width="13.42578125" style="311" bestFit="1" customWidth="1"/>
    <col min="4107" max="4107" width="11" style="311" bestFit="1" customWidth="1"/>
    <col min="4108" max="4108" width="35.42578125" style="311" customWidth="1"/>
    <col min="4109" max="4352" width="9.140625" style="311"/>
    <col min="4353" max="4353" width="13.7109375" style="311" bestFit="1" customWidth="1"/>
    <col min="4354" max="4354" width="18.85546875" style="311" customWidth="1"/>
    <col min="4355" max="4355" width="78.85546875" style="311" customWidth="1"/>
    <col min="4356" max="4356" width="20.85546875" style="311" customWidth="1"/>
    <col min="4357" max="4357" width="14" style="311" customWidth="1"/>
    <col min="4358" max="4358" width="20.140625" style="311" customWidth="1"/>
    <col min="4359" max="4361" width="17.28515625" style="311" customWidth="1"/>
    <col min="4362" max="4362" width="13.42578125" style="311" bestFit="1" customWidth="1"/>
    <col min="4363" max="4363" width="11" style="311" bestFit="1" customWidth="1"/>
    <col min="4364" max="4364" width="35.42578125" style="311" customWidth="1"/>
    <col min="4365" max="4608" width="9.140625" style="311"/>
    <col min="4609" max="4609" width="13.7109375" style="311" bestFit="1" customWidth="1"/>
    <col min="4610" max="4610" width="18.85546875" style="311" customWidth="1"/>
    <col min="4611" max="4611" width="78.85546875" style="311" customWidth="1"/>
    <col min="4612" max="4612" width="20.85546875" style="311" customWidth="1"/>
    <col min="4613" max="4613" width="14" style="311" customWidth="1"/>
    <col min="4614" max="4614" width="20.140625" style="311" customWidth="1"/>
    <col min="4615" max="4617" width="17.28515625" style="311" customWidth="1"/>
    <col min="4618" max="4618" width="13.42578125" style="311" bestFit="1" customWidth="1"/>
    <col min="4619" max="4619" width="11" style="311" bestFit="1" customWidth="1"/>
    <col min="4620" max="4620" width="35.42578125" style="311" customWidth="1"/>
    <col min="4621" max="4864" width="9.140625" style="311"/>
    <col min="4865" max="4865" width="13.7109375" style="311" bestFit="1" customWidth="1"/>
    <col min="4866" max="4866" width="18.85546875" style="311" customWidth="1"/>
    <col min="4867" max="4867" width="78.85546875" style="311" customWidth="1"/>
    <col min="4868" max="4868" width="20.85546875" style="311" customWidth="1"/>
    <col min="4869" max="4869" width="14" style="311" customWidth="1"/>
    <col min="4870" max="4870" width="20.140625" style="311" customWidth="1"/>
    <col min="4871" max="4873" width="17.28515625" style="311" customWidth="1"/>
    <col min="4874" max="4874" width="13.42578125" style="311" bestFit="1" customWidth="1"/>
    <col min="4875" max="4875" width="11" style="311" bestFit="1" customWidth="1"/>
    <col min="4876" max="4876" width="35.42578125" style="311" customWidth="1"/>
    <col min="4877" max="5120" width="9.140625" style="311"/>
    <col min="5121" max="5121" width="13.7109375" style="311" bestFit="1" customWidth="1"/>
    <col min="5122" max="5122" width="18.85546875" style="311" customWidth="1"/>
    <col min="5123" max="5123" width="78.85546875" style="311" customWidth="1"/>
    <col min="5124" max="5124" width="20.85546875" style="311" customWidth="1"/>
    <col min="5125" max="5125" width="14" style="311" customWidth="1"/>
    <col min="5126" max="5126" width="20.140625" style="311" customWidth="1"/>
    <col min="5127" max="5129" width="17.28515625" style="311" customWidth="1"/>
    <col min="5130" max="5130" width="13.42578125" style="311" bestFit="1" customWidth="1"/>
    <col min="5131" max="5131" width="11" style="311" bestFit="1" customWidth="1"/>
    <col min="5132" max="5132" width="35.42578125" style="311" customWidth="1"/>
    <col min="5133" max="5376" width="9.140625" style="311"/>
    <col min="5377" max="5377" width="13.7109375" style="311" bestFit="1" customWidth="1"/>
    <col min="5378" max="5378" width="18.85546875" style="311" customWidth="1"/>
    <col min="5379" max="5379" width="78.85546875" style="311" customWidth="1"/>
    <col min="5380" max="5380" width="20.85546875" style="311" customWidth="1"/>
    <col min="5381" max="5381" width="14" style="311" customWidth="1"/>
    <col min="5382" max="5382" width="20.140625" style="311" customWidth="1"/>
    <col min="5383" max="5385" width="17.28515625" style="311" customWidth="1"/>
    <col min="5386" max="5386" width="13.42578125" style="311" bestFit="1" customWidth="1"/>
    <col min="5387" max="5387" width="11" style="311" bestFit="1" customWidth="1"/>
    <col min="5388" max="5388" width="35.42578125" style="311" customWidth="1"/>
    <col min="5389" max="5632" width="9.140625" style="311"/>
    <col min="5633" max="5633" width="13.7109375" style="311" bestFit="1" customWidth="1"/>
    <col min="5634" max="5634" width="18.85546875" style="311" customWidth="1"/>
    <col min="5635" max="5635" width="78.85546875" style="311" customWidth="1"/>
    <col min="5636" max="5636" width="20.85546875" style="311" customWidth="1"/>
    <col min="5637" max="5637" width="14" style="311" customWidth="1"/>
    <col min="5638" max="5638" width="20.140625" style="311" customWidth="1"/>
    <col min="5639" max="5641" width="17.28515625" style="311" customWidth="1"/>
    <col min="5642" max="5642" width="13.42578125" style="311" bestFit="1" customWidth="1"/>
    <col min="5643" max="5643" width="11" style="311" bestFit="1" customWidth="1"/>
    <col min="5644" max="5644" width="35.42578125" style="311" customWidth="1"/>
    <col min="5645" max="5888" width="9.140625" style="311"/>
    <col min="5889" max="5889" width="13.7109375" style="311" bestFit="1" customWidth="1"/>
    <col min="5890" max="5890" width="18.85546875" style="311" customWidth="1"/>
    <col min="5891" max="5891" width="78.85546875" style="311" customWidth="1"/>
    <col min="5892" max="5892" width="20.85546875" style="311" customWidth="1"/>
    <col min="5893" max="5893" width="14" style="311" customWidth="1"/>
    <col min="5894" max="5894" width="20.140625" style="311" customWidth="1"/>
    <col min="5895" max="5897" width="17.28515625" style="311" customWidth="1"/>
    <col min="5898" max="5898" width="13.42578125" style="311" bestFit="1" customWidth="1"/>
    <col min="5899" max="5899" width="11" style="311" bestFit="1" customWidth="1"/>
    <col min="5900" max="5900" width="35.42578125" style="311" customWidth="1"/>
    <col min="5901" max="6144" width="9.140625" style="311"/>
    <col min="6145" max="6145" width="13.7109375" style="311" bestFit="1" customWidth="1"/>
    <col min="6146" max="6146" width="18.85546875" style="311" customWidth="1"/>
    <col min="6147" max="6147" width="78.85546875" style="311" customWidth="1"/>
    <col min="6148" max="6148" width="20.85546875" style="311" customWidth="1"/>
    <col min="6149" max="6149" width="14" style="311" customWidth="1"/>
    <col min="6150" max="6150" width="20.140625" style="311" customWidth="1"/>
    <col min="6151" max="6153" width="17.28515625" style="311" customWidth="1"/>
    <col min="6154" max="6154" width="13.42578125" style="311" bestFit="1" customWidth="1"/>
    <col min="6155" max="6155" width="11" style="311" bestFit="1" customWidth="1"/>
    <col min="6156" max="6156" width="35.42578125" style="311" customWidth="1"/>
    <col min="6157" max="6400" width="9.140625" style="311"/>
    <col min="6401" max="6401" width="13.7109375" style="311" bestFit="1" customWidth="1"/>
    <col min="6402" max="6402" width="18.85546875" style="311" customWidth="1"/>
    <col min="6403" max="6403" width="78.85546875" style="311" customWidth="1"/>
    <col min="6404" max="6404" width="20.85546875" style="311" customWidth="1"/>
    <col min="6405" max="6405" width="14" style="311" customWidth="1"/>
    <col min="6406" max="6406" width="20.140625" style="311" customWidth="1"/>
    <col min="6407" max="6409" width="17.28515625" style="311" customWidth="1"/>
    <col min="6410" max="6410" width="13.42578125" style="311" bestFit="1" customWidth="1"/>
    <col min="6411" max="6411" width="11" style="311" bestFit="1" customWidth="1"/>
    <col min="6412" max="6412" width="35.42578125" style="311" customWidth="1"/>
    <col min="6413" max="6656" width="9.140625" style="311"/>
    <col min="6657" max="6657" width="13.7109375" style="311" bestFit="1" customWidth="1"/>
    <col min="6658" max="6658" width="18.85546875" style="311" customWidth="1"/>
    <col min="6659" max="6659" width="78.85546875" style="311" customWidth="1"/>
    <col min="6660" max="6660" width="20.85546875" style="311" customWidth="1"/>
    <col min="6661" max="6661" width="14" style="311" customWidth="1"/>
    <col min="6662" max="6662" width="20.140625" style="311" customWidth="1"/>
    <col min="6663" max="6665" width="17.28515625" style="311" customWidth="1"/>
    <col min="6666" max="6666" width="13.42578125" style="311" bestFit="1" customWidth="1"/>
    <col min="6667" max="6667" width="11" style="311" bestFit="1" customWidth="1"/>
    <col min="6668" max="6668" width="35.42578125" style="311" customWidth="1"/>
    <col min="6669" max="6912" width="9.140625" style="311"/>
    <col min="6913" max="6913" width="13.7109375" style="311" bestFit="1" customWidth="1"/>
    <col min="6914" max="6914" width="18.85546875" style="311" customWidth="1"/>
    <col min="6915" max="6915" width="78.85546875" style="311" customWidth="1"/>
    <col min="6916" max="6916" width="20.85546875" style="311" customWidth="1"/>
    <col min="6917" max="6917" width="14" style="311" customWidth="1"/>
    <col min="6918" max="6918" width="20.140625" style="311" customWidth="1"/>
    <col min="6919" max="6921" width="17.28515625" style="311" customWidth="1"/>
    <col min="6922" max="6922" width="13.42578125" style="311" bestFit="1" customWidth="1"/>
    <col min="6923" max="6923" width="11" style="311" bestFit="1" customWidth="1"/>
    <col min="6924" max="6924" width="35.42578125" style="311" customWidth="1"/>
    <col min="6925" max="7168" width="9.140625" style="311"/>
    <col min="7169" max="7169" width="13.7109375" style="311" bestFit="1" customWidth="1"/>
    <col min="7170" max="7170" width="18.85546875" style="311" customWidth="1"/>
    <col min="7171" max="7171" width="78.85546875" style="311" customWidth="1"/>
    <col min="7172" max="7172" width="20.85546875" style="311" customWidth="1"/>
    <col min="7173" max="7173" width="14" style="311" customWidth="1"/>
    <col min="7174" max="7174" width="20.140625" style="311" customWidth="1"/>
    <col min="7175" max="7177" width="17.28515625" style="311" customWidth="1"/>
    <col min="7178" max="7178" width="13.42578125" style="311" bestFit="1" customWidth="1"/>
    <col min="7179" max="7179" width="11" style="311" bestFit="1" customWidth="1"/>
    <col min="7180" max="7180" width="35.42578125" style="311" customWidth="1"/>
    <col min="7181" max="7424" width="9.140625" style="311"/>
    <col min="7425" max="7425" width="13.7109375" style="311" bestFit="1" customWidth="1"/>
    <col min="7426" max="7426" width="18.85546875" style="311" customWidth="1"/>
    <col min="7427" max="7427" width="78.85546875" style="311" customWidth="1"/>
    <col min="7428" max="7428" width="20.85546875" style="311" customWidth="1"/>
    <col min="7429" max="7429" width="14" style="311" customWidth="1"/>
    <col min="7430" max="7430" width="20.140625" style="311" customWidth="1"/>
    <col min="7431" max="7433" width="17.28515625" style="311" customWidth="1"/>
    <col min="7434" max="7434" width="13.42578125" style="311" bestFit="1" customWidth="1"/>
    <col min="7435" max="7435" width="11" style="311" bestFit="1" customWidth="1"/>
    <col min="7436" max="7436" width="35.42578125" style="311" customWidth="1"/>
    <col min="7437" max="7680" width="9.140625" style="311"/>
    <col min="7681" max="7681" width="13.7109375" style="311" bestFit="1" customWidth="1"/>
    <col min="7682" max="7682" width="18.85546875" style="311" customWidth="1"/>
    <col min="7683" max="7683" width="78.85546875" style="311" customWidth="1"/>
    <col min="7684" max="7684" width="20.85546875" style="311" customWidth="1"/>
    <col min="7685" max="7685" width="14" style="311" customWidth="1"/>
    <col min="7686" max="7686" width="20.140625" style="311" customWidth="1"/>
    <col min="7687" max="7689" width="17.28515625" style="311" customWidth="1"/>
    <col min="7690" max="7690" width="13.42578125" style="311" bestFit="1" customWidth="1"/>
    <col min="7691" max="7691" width="11" style="311" bestFit="1" customWidth="1"/>
    <col min="7692" max="7692" width="35.42578125" style="311" customWidth="1"/>
    <col min="7693" max="7936" width="9.140625" style="311"/>
    <col min="7937" max="7937" width="13.7109375" style="311" bestFit="1" customWidth="1"/>
    <col min="7938" max="7938" width="18.85546875" style="311" customWidth="1"/>
    <col min="7939" max="7939" width="78.85546875" style="311" customWidth="1"/>
    <col min="7940" max="7940" width="20.85546875" style="311" customWidth="1"/>
    <col min="7941" max="7941" width="14" style="311" customWidth="1"/>
    <col min="7942" max="7942" width="20.140625" style="311" customWidth="1"/>
    <col min="7943" max="7945" width="17.28515625" style="311" customWidth="1"/>
    <col min="7946" max="7946" width="13.42578125" style="311" bestFit="1" customWidth="1"/>
    <col min="7947" max="7947" width="11" style="311" bestFit="1" customWidth="1"/>
    <col min="7948" max="7948" width="35.42578125" style="311" customWidth="1"/>
    <col min="7949" max="8192" width="9.140625" style="311"/>
    <col min="8193" max="8193" width="13.7109375" style="311" bestFit="1" customWidth="1"/>
    <col min="8194" max="8194" width="18.85546875" style="311" customWidth="1"/>
    <col min="8195" max="8195" width="78.85546875" style="311" customWidth="1"/>
    <col min="8196" max="8196" width="20.85546875" style="311" customWidth="1"/>
    <col min="8197" max="8197" width="14" style="311" customWidth="1"/>
    <col min="8198" max="8198" width="20.140625" style="311" customWidth="1"/>
    <col min="8199" max="8201" width="17.28515625" style="311" customWidth="1"/>
    <col min="8202" max="8202" width="13.42578125" style="311" bestFit="1" customWidth="1"/>
    <col min="8203" max="8203" width="11" style="311" bestFit="1" customWidth="1"/>
    <col min="8204" max="8204" width="35.42578125" style="311" customWidth="1"/>
    <col min="8205" max="8448" width="9.140625" style="311"/>
    <col min="8449" max="8449" width="13.7109375" style="311" bestFit="1" customWidth="1"/>
    <col min="8450" max="8450" width="18.85546875" style="311" customWidth="1"/>
    <col min="8451" max="8451" width="78.85546875" style="311" customWidth="1"/>
    <col min="8452" max="8452" width="20.85546875" style="311" customWidth="1"/>
    <col min="8453" max="8453" width="14" style="311" customWidth="1"/>
    <col min="8454" max="8454" width="20.140625" style="311" customWidth="1"/>
    <col min="8455" max="8457" width="17.28515625" style="311" customWidth="1"/>
    <col min="8458" max="8458" width="13.42578125" style="311" bestFit="1" customWidth="1"/>
    <col min="8459" max="8459" width="11" style="311" bestFit="1" customWidth="1"/>
    <col min="8460" max="8460" width="35.42578125" style="311" customWidth="1"/>
    <col min="8461" max="8704" width="9.140625" style="311"/>
    <col min="8705" max="8705" width="13.7109375" style="311" bestFit="1" customWidth="1"/>
    <col min="8706" max="8706" width="18.85546875" style="311" customWidth="1"/>
    <col min="8707" max="8707" width="78.85546875" style="311" customWidth="1"/>
    <col min="8708" max="8708" width="20.85546875" style="311" customWidth="1"/>
    <col min="8709" max="8709" width="14" style="311" customWidth="1"/>
    <col min="8710" max="8710" width="20.140625" style="311" customWidth="1"/>
    <col min="8711" max="8713" width="17.28515625" style="311" customWidth="1"/>
    <col min="8714" max="8714" width="13.42578125" style="311" bestFit="1" customWidth="1"/>
    <col min="8715" max="8715" width="11" style="311" bestFit="1" customWidth="1"/>
    <col min="8716" max="8716" width="35.42578125" style="311" customWidth="1"/>
    <col min="8717" max="8960" width="9.140625" style="311"/>
    <col min="8961" max="8961" width="13.7109375" style="311" bestFit="1" customWidth="1"/>
    <col min="8962" max="8962" width="18.85546875" style="311" customWidth="1"/>
    <col min="8963" max="8963" width="78.85546875" style="311" customWidth="1"/>
    <col min="8964" max="8964" width="20.85546875" style="311" customWidth="1"/>
    <col min="8965" max="8965" width="14" style="311" customWidth="1"/>
    <col min="8966" max="8966" width="20.140625" style="311" customWidth="1"/>
    <col min="8967" max="8969" width="17.28515625" style="311" customWidth="1"/>
    <col min="8970" max="8970" width="13.42578125" style="311" bestFit="1" customWidth="1"/>
    <col min="8971" max="8971" width="11" style="311" bestFit="1" customWidth="1"/>
    <col min="8972" max="8972" width="35.42578125" style="311" customWidth="1"/>
    <col min="8973" max="9216" width="9.140625" style="311"/>
    <col min="9217" max="9217" width="13.7109375" style="311" bestFit="1" customWidth="1"/>
    <col min="9218" max="9218" width="18.85546875" style="311" customWidth="1"/>
    <col min="9219" max="9219" width="78.85546875" style="311" customWidth="1"/>
    <col min="9220" max="9220" width="20.85546875" style="311" customWidth="1"/>
    <col min="9221" max="9221" width="14" style="311" customWidth="1"/>
    <col min="9222" max="9222" width="20.140625" style="311" customWidth="1"/>
    <col min="9223" max="9225" width="17.28515625" style="311" customWidth="1"/>
    <col min="9226" max="9226" width="13.42578125" style="311" bestFit="1" customWidth="1"/>
    <col min="9227" max="9227" width="11" style="311" bestFit="1" customWidth="1"/>
    <col min="9228" max="9228" width="35.42578125" style="311" customWidth="1"/>
    <col min="9229" max="9472" width="9.140625" style="311"/>
    <col min="9473" max="9473" width="13.7109375" style="311" bestFit="1" customWidth="1"/>
    <col min="9474" max="9474" width="18.85546875" style="311" customWidth="1"/>
    <col min="9475" max="9475" width="78.85546875" style="311" customWidth="1"/>
    <col min="9476" max="9476" width="20.85546875" style="311" customWidth="1"/>
    <col min="9477" max="9477" width="14" style="311" customWidth="1"/>
    <col min="9478" max="9478" width="20.140625" style="311" customWidth="1"/>
    <col min="9479" max="9481" width="17.28515625" style="311" customWidth="1"/>
    <col min="9482" max="9482" width="13.42578125" style="311" bestFit="1" customWidth="1"/>
    <col min="9483" max="9483" width="11" style="311" bestFit="1" customWidth="1"/>
    <col min="9484" max="9484" width="35.42578125" style="311" customWidth="1"/>
    <col min="9485" max="9728" width="9.140625" style="311"/>
    <col min="9729" max="9729" width="13.7109375" style="311" bestFit="1" customWidth="1"/>
    <col min="9730" max="9730" width="18.85546875" style="311" customWidth="1"/>
    <col min="9731" max="9731" width="78.85546875" style="311" customWidth="1"/>
    <col min="9732" max="9732" width="20.85546875" style="311" customWidth="1"/>
    <col min="9733" max="9733" width="14" style="311" customWidth="1"/>
    <col min="9734" max="9734" width="20.140625" style="311" customWidth="1"/>
    <col min="9735" max="9737" width="17.28515625" style="311" customWidth="1"/>
    <col min="9738" max="9738" width="13.42578125" style="311" bestFit="1" customWidth="1"/>
    <col min="9739" max="9739" width="11" style="311" bestFit="1" customWidth="1"/>
    <col min="9740" max="9740" width="35.42578125" style="311" customWidth="1"/>
    <col min="9741" max="9984" width="9.140625" style="311"/>
    <col min="9985" max="9985" width="13.7109375" style="311" bestFit="1" customWidth="1"/>
    <col min="9986" max="9986" width="18.85546875" style="311" customWidth="1"/>
    <col min="9987" max="9987" width="78.85546875" style="311" customWidth="1"/>
    <col min="9988" max="9988" width="20.85546875" style="311" customWidth="1"/>
    <col min="9989" max="9989" width="14" style="311" customWidth="1"/>
    <col min="9990" max="9990" width="20.140625" style="311" customWidth="1"/>
    <col min="9991" max="9993" width="17.28515625" style="311" customWidth="1"/>
    <col min="9994" max="9994" width="13.42578125" style="311" bestFit="1" customWidth="1"/>
    <col min="9995" max="9995" width="11" style="311" bestFit="1" customWidth="1"/>
    <col min="9996" max="9996" width="35.42578125" style="311" customWidth="1"/>
    <col min="9997" max="10240" width="9.140625" style="311"/>
    <col min="10241" max="10241" width="13.7109375" style="311" bestFit="1" customWidth="1"/>
    <col min="10242" max="10242" width="18.85546875" style="311" customWidth="1"/>
    <col min="10243" max="10243" width="78.85546875" style="311" customWidth="1"/>
    <col min="10244" max="10244" width="20.85546875" style="311" customWidth="1"/>
    <col min="10245" max="10245" width="14" style="311" customWidth="1"/>
    <col min="10246" max="10246" width="20.140625" style="311" customWidth="1"/>
    <col min="10247" max="10249" width="17.28515625" style="311" customWidth="1"/>
    <col min="10250" max="10250" width="13.42578125" style="311" bestFit="1" customWidth="1"/>
    <col min="10251" max="10251" width="11" style="311" bestFit="1" customWidth="1"/>
    <col min="10252" max="10252" width="35.42578125" style="311" customWidth="1"/>
    <col min="10253" max="10496" width="9.140625" style="311"/>
    <col min="10497" max="10497" width="13.7109375" style="311" bestFit="1" customWidth="1"/>
    <col min="10498" max="10498" width="18.85546875" style="311" customWidth="1"/>
    <col min="10499" max="10499" width="78.85546875" style="311" customWidth="1"/>
    <col min="10500" max="10500" width="20.85546875" style="311" customWidth="1"/>
    <col min="10501" max="10501" width="14" style="311" customWidth="1"/>
    <col min="10502" max="10502" width="20.140625" style="311" customWidth="1"/>
    <col min="10503" max="10505" width="17.28515625" style="311" customWidth="1"/>
    <col min="10506" max="10506" width="13.42578125" style="311" bestFit="1" customWidth="1"/>
    <col min="10507" max="10507" width="11" style="311" bestFit="1" customWidth="1"/>
    <col min="10508" max="10508" width="35.42578125" style="311" customWidth="1"/>
    <col min="10509" max="10752" width="9.140625" style="311"/>
    <col min="10753" max="10753" width="13.7109375" style="311" bestFit="1" customWidth="1"/>
    <col min="10754" max="10754" width="18.85546875" style="311" customWidth="1"/>
    <col min="10755" max="10755" width="78.85546875" style="311" customWidth="1"/>
    <col min="10756" max="10756" width="20.85546875" style="311" customWidth="1"/>
    <col min="10757" max="10757" width="14" style="311" customWidth="1"/>
    <col min="10758" max="10758" width="20.140625" style="311" customWidth="1"/>
    <col min="10759" max="10761" width="17.28515625" style="311" customWidth="1"/>
    <col min="10762" max="10762" width="13.42578125" style="311" bestFit="1" customWidth="1"/>
    <col min="10763" max="10763" width="11" style="311" bestFit="1" customWidth="1"/>
    <col min="10764" max="10764" width="35.42578125" style="311" customWidth="1"/>
    <col min="10765" max="11008" width="9.140625" style="311"/>
    <col min="11009" max="11009" width="13.7109375" style="311" bestFit="1" customWidth="1"/>
    <col min="11010" max="11010" width="18.85546875" style="311" customWidth="1"/>
    <col min="11011" max="11011" width="78.85546875" style="311" customWidth="1"/>
    <col min="11012" max="11012" width="20.85546875" style="311" customWidth="1"/>
    <col min="11013" max="11013" width="14" style="311" customWidth="1"/>
    <col min="11014" max="11014" width="20.140625" style="311" customWidth="1"/>
    <col min="11015" max="11017" width="17.28515625" style="311" customWidth="1"/>
    <col min="11018" max="11018" width="13.42578125" style="311" bestFit="1" customWidth="1"/>
    <col min="11019" max="11019" width="11" style="311" bestFit="1" customWidth="1"/>
    <col min="11020" max="11020" width="35.42578125" style="311" customWidth="1"/>
    <col min="11021" max="11264" width="9.140625" style="311"/>
    <col min="11265" max="11265" width="13.7109375" style="311" bestFit="1" customWidth="1"/>
    <col min="11266" max="11266" width="18.85546875" style="311" customWidth="1"/>
    <col min="11267" max="11267" width="78.85546875" style="311" customWidth="1"/>
    <col min="11268" max="11268" width="20.85546875" style="311" customWidth="1"/>
    <col min="11269" max="11269" width="14" style="311" customWidth="1"/>
    <col min="11270" max="11270" width="20.140625" style="311" customWidth="1"/>
    <col min="11271" max="11273" width="17.28515625" style="311" customWidth="1"/>
    <col min="11274" max="11274" width="13.42578125" style="311" bestFit="1" customWidth="1"/>
    <col min="11275" max="11275" width="11" style="311" bestFit="1" customWidth="1"/>
    <col min="11276" max="11276" width="35.42578125" style="311" customWidth="1"/>
    <col min="11277" max="11520" width="9.140625" style="311"/>
    <col min="11521" max="11521" width="13.7109375" style="311" bestFit="1" customWidth="1"/>
    <col min="11522" max="11522" width="18.85546875" style="311" customWidth="1"/>
    <col min="11523" max="11523" width="78.85546875" style="311" customWidth="1"/>
    <col min="11524" max="11524" width="20.85546875" style="311" customWidth="1"/>
    <col min="11525" max="11525" width="14" style="311" customWidth="1"/>
    <col min="11526" max="11526" width="20.140625" style="311" customWidth="1"/>
    <col min="11527" max="11529" width="17.28515625" style="311" customWidth="1"/>
    <col min="11530" max="11530" width="13.42578125" style="311" bestFit="1" customWidth="1"/>
    <col min="11531" max="11531" width="11" style="311" bestFit="1" customWidth="1"/>
    <col min="11532" max="11532" width="35.42578125" style="311" customWidth="1"/>
    <col min="11533" max="11776" width="9.140625" style="311"/>
    <col min="11777" max="11777" width="13.7109375" style="311" bestFit="1" customWidth="1"/>
    <col min="11778" max="11778" width="18.85546875" style="311" customWidth="1"/>
    <col min="11779" max="11779" width="78.85546875" style="311" customWidth="1"/>
    <col min="11780" max="11780" width="20.85546875" style="311" customWidth="1"/>
    <col min="11781" max="11781" width="14" style="311" customWidth="1"/>
    <col min="11782" max="11782" width="20.140625" style="311" customWidth="1"/>
    <col min="11783" max="11785" width="17.28515625" style="311" customWidth="1"/>
    <col min="11786" max="11786" width="13.42578125" style="311" bestFit="1" customWidth="1"/>
    <col min="11787" max="11787" width="11" style="311" bestFit="1" customWidth="1"/>
    <col min="11788" max="11788" width="35.42578125" style="311" customWidth="1"/>
    <col min="11789" max="12032" width="9.140625" style="311"/>
    <col min="12033" max="12033" width="13.7109375" style="311" bestFit="1" customWidth="1"/>
    <col min="12034" max="12034" width="18.85546875" style="311" customWidth="1"/>
    <col min="12035" max="12035" width="78.85546875" style="311" customWidth="1"/>
    <col min="12036" max="12036" width="20.85546875" style="311" customWidth="1"/>
    <col min="12037" max="12037" width="14" style="311" customWidth="1"/>
    <col min="12038" max="12038" width="20.140625" style="311" customWidth="1"/>
    <col min="12039" max="12041" width="17.28515625" style="311" customWidth="1"/>
    <col min="12042" max="12042" width="13.42578125" style="311" bestFit="1" customWidth="1"/>
    <col min="12043" max="12043" width="11" style="311" bestFit="1" customWidth="1"/>
    <col min="12044" max="12044" width="35.42578125" style="311" customWidth="1"/>
    <col min="12045" max="12288" width="9.140625" style="311"/>
    <col min="12289" max="12289" width="13.7109375" style="311" bestFit="1" customWidth="1"/>
    <col min="12290" max="12290" width="18.85546875" style="311" customWidth="1"/>
    <col min="12291" max="12291" width="78.85546875" style="311" customWidth="1"/>
    <col min="12292" max="12292" width="20.85546875" style="311" customWidth="1"/>
    <col min="12293" max="12293" width="14" style="311" customWidth="1"/>
    <col min="12294" max="12294" width="20.140625" style="311" customWidth="1"/>
    <col min="12295" max="12297" width="17.28515625" style="311" customWidth="1"/>
    <col min="12298" max="12298" width="13.42578125" style="311" bestFit="1" customWidth="1"/>
    <col min="12299" max="12299" width="11" style="311" bestFit="1" customWidth="1"/>
    <col min="12300" max="12300" width="35.42578125" style="311" customWidth="1"/>
    <col min="12301" max="12544" width="9.140625" style="311"/>
    <col min="12545" max="12545" width="13.7109375" style="311" bestFit="1" customWidth="1"/>
    <col min="12546" max="12546" width="18.85546875" style="311" customWidth="1"/>
    <col min="12547" max="12547" width="78.85546875" style="311" customWidth="1"/>
    <col min="12548" max="12548" width="20.85546875" style="311" customWidth="1"/>
    <col min="12549" max="12549" width="14" style="311" customWidth="1"/>
    <col min="12550" max="12550" width="20.140625" style="311" customWidth="1"/>
    <col min="12551" max="12553" width="17.28515625" style="311" customWidth="1"/>
    <col min="12554" max="12554" width="13.42578125" style="311" bestFit="1" customWidth="1"/>
    <col min="12555" max="12555" width="11" style="311" bestFit="1" customWidth="1"/>
    <col min="12556" max="12556" width="35.42578125" style="311" customWidth="1"/>
    <col min="12557" max="12800" width="9.140625" style="311"/>
    <col min="12801" max="12801" width="13.7109375" style="311" bestFit="1" customWidth="1"/>
    <col min="12802" max="12802" width="18.85546875" style="311" customWidth="1"/>
    <col min="12803" max="12803" width="78.85546875" style="311" customWidth="1"/>
    <col min="12804" max="12804" width="20.85546875" style="311" customWidth="1"/>
    <col min="12805" max="12805" width="14" style="311" customWidth="1"/>
    <col min="12806" max="12806" width="20.140625" style="311" customWidth="1"/>
    <col min="12807" max="12809" width="17.28515625" style="311" customWidth="1"/>
    <col min="12810" max="12810" width="13.42578125" style="311" bestFit="1" customWidth="1"/>
    <col min="12811" max="12811" width="11" style="311" bestFit="1" customWidth="1"/>
    <col min="12812" max="12812" width="35.42578125" style="311" customWidth="1"/>
    <col min="12813" max="13056" width="9.140625" style="311"/>
    <col min="13057" max="13057" width="13.7109375" style="311" bestFit="1" customWidth="1"/>
    <col min="13058" max="13058" width="18.85546875" style="311" customWidth="1"/>
    <col min="13059" max="13059" width="78.85546875" style="311" customWidth="1"/>
    <col min="13060" max="13060" width="20.85546875" style="311" customWidth="1"/>
    <col min="13061" max="13061" width="14" style="311" customWidth="1"/>
    <col min="13062" max="13062" width="20.140625" style="311" customWidth="1"/>
    <col min="13063" max="13065" width="17.28515625" style="311" customWidth="1"/>
    <col min="13066" max="13066" width="13.42578125" style="311" bestFit="1" customWidth="1"/>
    <col min="13067" max="13067" width="11" style="311" bestFit="1" customWidth="1"/>
    <col min="13068" max="13068" width="35.42578125" style="311" customWidth="1"/>
    <col min="13069" max="13312" width="9.140625" style="311"/>
    <col min="13313" max="13313" width="13.7109375" style="311" bestFit="1" customWidth="1"/>
    <col min="13314" max="13314" width="18.85546875" style="311" customWidth="1"/>
    <col min="13315" max="13315" width="78.85546875" style="311" customWidth="1"/>
    <col min="13316" max="13316" width="20.85546875" style="311" customWidth="1"/>
    <col min="13317" max="13317" width="14" style="311" customWidth="1"/>
    <col min="13318" max="13318" width="20.140625" style="311" customWidth="1"/>
    <col min="13319" max="13321" width="17.28515625" style="311" customWidth="1"/>
    <col min="13322" max="13322" width="13.42578125" style="311" bestFit="1" customWidth="1"/>
    <col min="13323" max="13323" width="11" style="311" bestFit="1" customWidth="1"/>
    <col min="13324" max="13324" width="35.42578125" style="311" customWidth="1"/>
    <col min="13325" max="13568" width="9.140625" style="311"/>
    <col min="13569" max="13569" width="13.7109375" style="311" bestFit="1" customWidth="1"/>
    <col min="13570" max="13570" width="18.85546875" style="311" customWidth="1"/>
    <col min="13571" max="13571" width="78.85546875" style="311" customWidth="1"/>
    <col min="13572" max="13572" width="20.85546875" style="311" customWidth="1"/>
    <col min="13573" max="13573" width="14" style="311" customWidth="1"/>
    <col min="13574" max="13574" width="20.140625" style="311" customWidth="1"/>
    <col min="13575" max="13577" width="17.28515625" style="311" customWidth="1"/>
    <col min="13578" max="13578" width="13.42578125" style="311" bestFit="1" customWidth="1"/>
    <col min="13579" max="13579" width="11" style="311" bestFit="1" customWidth="1"/>
    <col min="13580" max="13580" width="35.42578125" style="311" customWidth="1"/>
    <col min="13581" max="13824" width="9.140625" style="311"/>
    <col min="13825" max="13825" width="13.7109375" style="311" bestFit="1" customWidth="1"/>
    <col min="13826" max="13826" width="18.85546875" style="311" customWidth="1"/>
    <col min="13827" max="13827" width="78.85546875" style="311" customWidth="1"/>
    <col min="13828" max="13828" width="20.85546875" style="311" customWidth="1"/>
    <col min="13829" max="13829" width="14" style="311" customWidth="1"/>
    <col min="13830" max="13830" width="20.140625" style="311" customWidth="1"/>
    <col min="13831" max="13833" width="17.28515625" style="311" customWidth="1"/>
    <col min="13834" max="13834" width="13.42578125" style="311" bestFit="1" customWidth="1"/>
    <col min="13835" max="13835" width="11" style="311" bestFit="1" customWidth="1"/>
    <col min="13836" max="13836" width="35.42578125" style="311" customWidth="1"/>
    <col min="13837" max="14080" width="9.140625" style="311"/>
    <col min="14081" max="14081" width="13.7109375" style="311" bestFit="1" customWidth="1"/>
    <col min="14082" max="14082" width="18.85546875" style="311" customWidth="1"/>
    <col min="14083" max="14083" width="78.85546875" style="311" customWidth="1"/>
    <col min="14084" max="14084" width="20.85546875" style="311" customWidth="1"/>
    <col min="14085" max="14085" width="14" style="311" customWidth="1"/>
    <col min="14086" max="14086" width="20.140625" style="311" customWidth="1"/>
    <col min="14087" max="14089" width="17.28515625" style="311" customWidth="1"/>
    <col min="14090" max="14090" width="13.42578125" style="311" bestFit="1" customWidth="1"/>
    <col min="14091" max="14091" width="11" style="311" bestFit="1" customWidth="1"/>
    <col min="14092" max="14092" width="35.42578125" style="311" customWidth="1"/>
    <col min="14093" max="14336" width="9.140625" style="311"/>
    <col min="14337" max="14337" width="13.7109375" style="311" bestFit="1" customWidth="1"/>
    <col min="14338" max="14338" width="18.85546875" style="311" customWidth="1"/>
    <col min="14339" max="14339" width="78.85546875" style="311" customWidth="1"/>
    <col min="14340" max="14340" width="20.85546875" style="311" customWidth="1"/>
    <col min="14341" max="14341" width="14" style="311" customWidth="1"/>
    <col min="14342" max="14342" width="20.140625" style="311" customWidth="1"/>
    <col min="14343" max="14345" width="17.28515625" style="311" customWidth="1"/>
    <col min="14346" max="14346" width="13.42578125" style="311" bestFit="1" customWidth="1"/>
    <col min="14347" max="14347" width="11" style="311" bestFit="1" customWidth="1"/>
    <col min="14348" max="14348" width="35.42578125" style="311" customWidth="1"/>
    <col min="14349" max="14592" width="9.140625" style="311"/>
    <col min="14593" max="14593" width="13.7109375" style="311" bestFit="1" customWidth="1"/>
    <col min="14594" max="14594" width="18.85546875" style="311" customWidth="1"/>
    <col min="14595" max="14595" width="78.85546875" style="311" customWidth="1"/>
    <col min="14596" max="14596" width="20.85546875" style="311" customWidth="1"/>
    <col min="14597" max="14597" width="14" style="311" customWidth="1"/>
    <col min="14598" max="14598" width="20.140625" style="311" customWidth="1"/>
    <col min="14599" max="14601" width="17.28515625" style="311" customWidth="1"/>
    <col min="14602" max="14602" width="13.42578125" style="311" bestFit="1" customWidth="1"/>
    <col min="14603" max="14603" width="11" style="311" bestFit="1" customWidth="1"/>
    <col min="14604" max="14604" width="35.42578125" style="311" customWidth="1"/>
    <col min="14605" max="14848" width="9.140625" style="311"/>
    <col min="14849" max="14849" width="13.7109375" style="311" bestFit="1" customWidth="1"/>
    <col min="14850" max="14850" width="18.85546875" style="311" customWidth="1"/>
    <col min="14851" max="14851" width="78.85546875" style="311" customWidth="1"/>
    <col min="14852" max="14852" width="20.85546875" style="311" customWidth="1"/>
    <col min="14853" max="14853" width="14" style="311" customWidth="1"/>
    <col min="14854" max="14854" width="20.140625" style="311" customWidth="1"/>
    <col min="14855" max="14857" width="17.28515625" style="311" customWidth="1"/>
    <col min="14858" max="14858" width="13.42578125" style="311" bestFit="1" customWidth="1"/>
    <col min="14859" max="14859" width="11" style="311" bestFit="1" customWidth="1"/>
    <col min="14860" max="14860" width="35.42578125" style="311" customWidth="1"/>
    <col min="14861" max="15104" width="9.140625" style="311"/>
    <col min="15105" max="15105" width="13.7109375" style="311" bestFit="1" customWidth="1"/>
    <col min="15106" max="15106" width="18.85546875" style="311" customWidth="1"/>
    <col min="15107" max="15107" width="78.85546875" style="311" customWidth="1"/>
    <col min="15108" max="15108" width="20.85546875" style="311" customWidth="1"/>
    <col min="15109" max="15109" width="14" style="311" customWidth="1"/>
    <col min="15110" max="15110" width="20.140625" style="311" customWidth="1"/>
    <col min="15111" max="15113" width="17.28515625" style="311" customWidth="1"/>
    <col min="15114" max="15114" width="13.42578125" style="311" bestFit="1" customWidth="1"/>
    <col min="15115" max="15115" width="11" style="311" bestFit="1" customWidth="1"/>
    <col min="15116" max="15116" width="35.42578125" style="311" customWidth="1"/>
    <col min="15117" max="15360" width="9.140625" style="311"/>
    <col min="15361" max="15361" width="13.7109375" style="311" bestFit="1" customWidth="1"/>
    <col min="15362" max="15362" width="18.85546875" style="311" customWidth="1"/>
    <col min="15363" max="15363" width="78.85546875" style="311" customWidth="1"/>
    <col min="15364" max="15364" width="20.85546875" style="311" customWidth="1"/>
    <col min="15365" max="15365" width="14" style="311" customWidth="1"/>
    <col min="15366" max="15366" width="20.140625" style="311" customWidth="1"/>
    <col min="15367" max="15369" width="17.28515625" style="311" customWidth="1"/>
    <col min="15370" max="15370" width="13.42578125" style="311" bestFit="1" customWidth="1"/>
    <col min="15371" max="15371" width="11" style="311" bestFit="1" customWidth="1"/>
    <col min="15372" max="15372" width="35.42578125" style="311" customWidth="1"/>
    <col min="15373" max="15616" width="9.140625" style="311"/>
    <col min="15617" max="15617" width="13.7109375" style="311" bestFit="1" customWidth="1"/>
    <col min="15618" max="15618" width="18.85546875" style="311" customWidth="1"/>
    <col min="15619" max="15619" width="78.85546875" style="311" customWidth="1"/>
    <col min="15620" max="15620" width="20.85546875" style="311" customWidth="1"/>
    <col min="15621" max="15621" width="14" style="311" customWidth="1"/>
    <col min="15622" max="15622" width="20.140625" style="311" customWidth="1"/>
    <col min="15623" max="15625" width="17.28515625" style="311" customWidth="1"/>
    <col min="15626" max="15626" width="13.42578125" style="311" bestFit="1" customWidth="1"/>
    <col min="15627" max="15627" width="11" style="311" bestFit="1" customWidth="1"/>
    <col min="15628" max="15628" width="35.42578125" style="311" customWidth="1"/>
    <col min="15629" max="15872" width="9.140625" style="311"/>
    <col min="15873" max="15873" width="13.7109375" style="311" bestFit="1" customWidth="1"/>
    <col min="15874" max="15874" width="18.85546875" style="311" customWidth="1"/>
    <col min="15875" max="15875" width="78.85546875" style="311" customWidth="1"/>
    <col min="15876" max="15876" width="20.85546875" style="311" customWidth="1"/>
    <col min="15877" max="15877" width="14" style="311" customWidth="1"/>
    <col min="15878" max="15878" width="20.140625" style="311" customWidth="1"/>
    <col min="15879" max="15881" width="17.28515625" style="311" customWidth="1"/>
    <col min="15882" max="15882" width="13.42578125" style="311" bestFit="1" customWidth="1"/>
    <col min="15883" max="15883" width="11" style="311" bestFit="1" customWidth="1"/>
    <col min="15884" max="15884" width="35.42578125" style="311" customWidth="1"/>
    <col min="15885" max="16128" width="9.140625" style="311"/>
    <col min="16129" max="16129" width="13.7109375" style="311" bestFit="1" customWidth="1"/>
    <col min="16130" max="16130" width="18.85546875" style="311" customWidth="1"/>
    <col min="16131" max="16131" width="78.85546875" style="311" customWidth="1"/>
    <col min="16132" max="16132" width="20.85546875" style="311" customWidth="1"/>
    <col min="16133" max="16133" width="14" style="311" customWidth="1"/>
    <col min="16134" max="16134" width="20.140625" style="311" customWidth="1"/>
    <col min="16135" max="16137" width="17.28515625" style="311" customWidth="1"/>
    <col min="16138" max="16138" width="13.42578125" style="311" bestFit="1" customWidth="1"/>
    <col min="16139" max="16139" width="11" style="311" bestFit="1" customWidth="1"/>
    <col min="16140" max="16140" width="35.42578125" style="311" customWidth="1"/>
    <col min="16141" max="16384" width="9.140625" style="311"/>
  </cols>
  <sheetData>
    <row r="1" spans="1:14" s="275" customFormat="1" ht="23.25">
      <c r="A1" s="276"/>
      <c r="B1" s="268"/>
      <c r="C1" s="277"/>
      <c r="D1" s="270"/>
      <c r="E1" s="271"/>
      <c r="G1" s="278" t="s">
        <v>533</v>
      </c>
      <c r="H1" s="272"/>
      <c r="I1" s="272"/>
      <c r="J1" s="272"/>
      <c r="K1" s="272"/>
      <c r="L1" s="272"/>
      <c r="M1" s="272"/>
      <c r="N1" s="279"/>
    </row>
    <row r="2" spans="1:14" s="275" customFormat="1">
      <c r="A2" s="267"/>
      <c r="B2" s="268"/>
      <c r="C2" s="277"/>
      <c r="D2" s="270"/>
      <c r="E2" s="271"/>
      <c r="F2" s="272"/>
      <c r="G2" s="273"/>
      <c r="H2" s="272"/>
      <c r="I2" s="272"/>
      <c r="J2" s="272"/>
      <c r="K2" s="272"/>
      <c r="L2" s="272"/>
      <c r="M2" s="272"/>
      <c r="N2" s="279"/>
    </row>
    <row r="3" spans="1:14" s="275" customFormat="1">
      <c r="A3" s="267" t="s">
        <v>527</v>
      </c>
      <c r="B3" s="268"/>
      <c r="C3" s="277"/>
      <c r="D3" s="270"/>
      <c r="E3" s="271"/>
      <c r="F3" s="272"/>
      <c r="G3" s="273"/>
      <c r="H3" s="272"/>
      <c r="I3" s="272"/>
      <c r="J3" s="272"/>
      <c r="K3" s="272"/>
      <c r="L3" s="272"/>
      <c r="M3" s="272"/>
      <c r="N3" s="279"/>
    </row>
    <row r="4" spans="1:14" s="275" customFormat="1">
      <c r="A4" s="267" t="s">
        <v>808</v>
      </c>
      <c r="B4" s="268"/>
      <c r="C4" s="277"/>
      <c r="D4" s="270"/>
      <c r="E4" s="271"/>
      <c r="F4" s="272"/>
      <c r="G4" s="273"/>
      <c r="H4" s="272"/>
      <c r="I4" s="272"/>
      <c r="J4" s="272"/>
      <c r="K4" s="272"/>
      <c r="L4" s="272"/>
      <c r="M4" s="272"/>
      <c r="N4" s="279"/>
    </row>
    <row r="5" spans="1:14" s="275" customFormat="1">
      <c r="A5" s="267" t="s">
        <v>809</v>
      </c>
      <c r="B5" s="268"/>
      <c r="C5" s="277"/>
      <c r="D5" s="270"/>
      <c r="E5" s="271"/>
      <c r="F5" s="272"/>
      <c r="G5" s="273"/>
      <c r="H5" s="272"/>
      <c r="I5" s="272"/>
      <c r="J5" s="272"/>
      <c r="K5" s="272"/>
      <c r="L5" s="272"/>
      <c r="M5" s="272"/>
      <c r="N5" s="279"/>
    </row>
    <row r="6" spans="1:14" s="275" customFormat="1">
      <c r="A6" s="267" t="s">
        <v>531</v>
      </c>
      <c r="B6" s="268"/>
      <c r="C6" s="277"/>
      <c r="D6" s="270"/>
      <c r="E6" s="271"/>
      <c r="F6" s="272"/>
      <c r="G6" s="273"/>
      <c r="H6" s="272"/>
      <c r="I6" s="272"/>
      <c r="J6" s="272"/>
      <c r="K6" s="272"/>
      <c r="L6" s="272"/>
      <c r="M6" s="272"/>
      <c r="N6" s="279"/>
    </row>
    <row r="7" spans="1:14" s="275" customFormat="1">
      <c r="A7" s="276"/>
      <c r="B7" s="268"/>
      <c r="C7" s="277"/>
      <c r="D7" s="270"/>
      <c r="E7" s="271"/>
      <c r="F7" s="272"/>
      <c r="G7" s="273"/>
      <c r="H7" s="272"/>
      <c r="I7" s="272"/>
      <c r="J7" s="272"/>
      <c r="K7" s="272"/>
      <c r="L7" s="272"/>
      <c r="M7" s="272"/>
      <c r="N7" s="279"/>
    </row>
    <row r="8" spans="1:14" s="328" customFormat="1" ht="15" customHeight="1">
      <c r="A8" s="601" t="s">
        <v>0</v>
      </c>
      <c r="B8" s="601" t="s">
        <v>653</v>
      </c>
      <c r="C8" s="602" t="s">
        <v>582</v>
      </c>
      <c r="D8" s="603" t="s">
        <v>44</v>
      </c>
      <c r="E8" s="604" t="s">
        <v>654</v>
      </c>
      <c r="F8" s="605" t="s">
        <v>655</v>
      </c>
      <c r="G8" s="600" t="s">
        <v>656</v>
      </c>
      <c r="H8" s="600"/>
      <c r="I8" s="600"/>
    </row>
    <row r="9" spans="1:14" s="328" customFormat="1" ht="30.75" customHeight="1">
      <c r="A9" s="601"/>
      <c r="B9" s="601"/>
      <c r="C9" s="602"/>
      <c r="D9" s="603"/>
      <c r="E9" s="604"/>
      <c r="F9" s="605"/>
      <c r="G9" s="329" t="s">
        <v>657</v>
      </c>
      <c r="H9" s="329" t="s">
        <v>490</v>
      </c>
      <c r="I9" s="330" t="s">
        <v>435</v>
      </c>
    </row>
    <row r="10" spans="1:14" s="338" customFormat="1" ht="15.75">
      <c r="A10" s="521" t="s">
        <v>664</v>
      </c>
      <c r="B10" s="522" t="s">
        <v>824</v>
      </c>
      <c r="C10" s="523" t="s">
        <v>833</v>
      </c>
      <c r="D10" s="522" t="s">
        <v>659</v>
      </c>
      <c r="E10" s="524">
        <v>1</v>
      </c>
      <c r="F10" s="525">
        <f>I10</f>
        <v>105459.45887395884</v>
      </c>
      <c r="G10" s="525">
        <f>SUM(G11:G18)</f>
        <v>71584.458873958822</v>
      </c>
      <c r="H10" s="525">
        <f>SUM(H11:H18)</f>
        <v>33875</v>
      </c>
      <c r="I10" s="525">
        <f>SUM(I11:I18)</f>
        <v>105459.45887395884</v>
      </c>
      <c r="J10" s="336"/>
      <c r="K10" s="337"/>
    </row>
    <row r="11" spans="1:14" s="347" customFormat="1" ht="14.25">
      <c r="A11" s="339" t="s">
        <v>80</v>
      </c>
      <c r="B11" s="340" t="s">
        <v>840</v>
      </c>
      <c r="C11" s="341" t="s">
        <v>835</v>
      </c>
      <c r="D11" s="342" t="s">
        <v>660</v>
      </c>
      <c r="E11" s="343">
        <v>1</v>
      </c>
      <c r="F11" s="344">
        <v>45000</v>
      </c>
      <c r="G11" s="344">
        <f t="shared" ref="G11:G16" si="0">F11*E11</f>
        <v>45000</v>
      </c>
      <c r="H11" s="345"/>
      <c r="I11" s="346">
        <f>G11+H11</f>
        <v>45000</v>
      </c>
    </row>
    <row r="12" spans="1:14" s="347" customFormat="1" ht="14.25">
      <c r="A12" s="348" t="s">
        <v>80</v>
      </c>
      <c r="B12" s="340" t="s">
        <v>840</v>
      </c>
      <c r="C12" s="341" t="s">
        <v>837</v>
      </c>
      <c r="D12" s="342" t="s">
        <v>660</v>
      </c>
      <c r="E12" s="343">
        <v>1</v>
      </c>
      <c r="F12" s="344">
        <v>3595</v>
      </c>
      <c r="G12" s="344">
        <f t="shared" si="0"/>
        <v>3595</v>
      </c>
      <c r="H12" s="345"/>
      <c r="I12" s="346">
        <f t="shared" ref="I12:I15" si="1">G12+H12</f>
        <v>3595</v>
      </c>
    </row>
    <row r="13" spans="1:14" s="347" customFormat="1" ht="14.25">
      <c r="A13" s="339" t="s">
        <v>80</v>
      </c>
      <c r="B13" s="340" t="s">
        <v>840</v>
      </c>
      <c r="C13" s="341" t="s">
        <v>839</v>
      </c>
      <c r="D13" s="342" t="s">
        <v>659</v>
      </c>
      <c r="E13" s="343">
        <v>1</v>
      </c>
      <c r="F13" s="344">
        <v>13920</v>
      </c>
      <c r="G13" s="344"/>
      <c r="H13" s="344">
        <f>F13*E13</f>
        <v>13920</v>
      </c>
      <c r="I13" s="346">
        <f t="shared" si="1"/>
        <v>13920</v>
      </c>
    </row>
    <row r="14" spans="1:14" s="347" customFormat="1" ht="14.25">
      <c r="A14" s="339" t="s">
        <v>80</v>
      </c>
      <c r="B14" s="340" t="s">
        <v>840</v>
      </c>
      <c r="C14" s="341" t="s">
        <v>1065</v>
      </c>
      <c r="D14" s="342" t="s">
        <v>659</v>
      </c>
      <c r="E14" s="343">
        <v>1</v>
      </c>
      <c r="F14" s="344">
        <v>4414.4588739588307</v>
      </c>
      <c r="G14" s="344">
        <f t="shared" si="0"/>
        <v>4414.4588739588307</v>
      </c>
      <c r="H14" s="344"/>
      <c r="I14" s="346">
        <f t="shared" si="1"/>
        <v>4414.4588739588307</v>
      </c>
    </row>
    <row r="15" spans="1:14" s="347" customFormat="1" ht="14.25">
      <c r="A15" s="339" t="s">
        <v>80</v>
      </c>
      <c r="B15" s="340" t="s">
        <v>840</v>
      </c>
      <c r="C15" s="341" t="s">
        <v>841</v>
      </c>
      <c r="D15" s="342" t="s">
        <v>659</v>
      </c>
      <c r="E15" s="343">
        <v>1</v>
      </c>
      <c r="F15" s="344">
        <v>11360</v>
      </c>
      <c r="G15" s="344"/>
      <c r="H15" s="344">
        <f>F15*E15</f>
        <v>11360</v>
      </c>
      <c r="I15" s="346">
        <f t="shared" si="1"/>
        <v>11360</v>
      </c>
    </row>
    <row r="16" spans="1:14" s="347" customFormat="1" ht="14.25">
      <c r="A16" s="339" t="s">
        <v>80</v>
      </c>
      <c r="B16" s="340" t="s">
        <v>840</v>
      </c>
      <c r="C16" s="341" t="s">
        <v>842</v>
      </c>
      <c r="D16" s="342" t="s">
        <v>659</v>
      </c>
      <c r="E16" s="343">
        <v>1</v>
      </c>
      <c r="F16" s="344">
        <v>18575</v>
      </c>
      <c r="G16" s="344">
        <f t="shared" si="0"/>
        <v>18575</v>
      </c>
      <c r="H16" s="344"/>
      <c r="I16" s="346">
        <f>G16+H16</f>
        <v>18575</v>
      </c>
    </row>
    <row r="17" spans="1:11" s="347" customFormat="1" ht="14.25">
      <c r="A17" s="339" t="s">
        <v>80</v>
      </c>
      <c r="B17" s="340" t="s">
        <v>840</v>
      </c>
      <c r="C17" s="341" t="s">
        <v>838</v>
      </c>
      <c r="D17" s="342" t="s">
        <v>659</v>
      </c>
      <c r="E17" s="343">
        <v>1</v>
      </c>
      <c r="F17" s="344">
        <f>F12</f>
        <v>3595</v>
      </c>
      <c r="G17" s="344"/>
      <c r="H17" s="344">
        <f>F17*E17</f>
        <v>3595</v>
      </c>
      <c r="I17" s="346">
        <f t="shared" ref="I17:I18" si="2">G17+H17</f>
        <v>3595</v>
      </c>
    </row>
    <row r="18" spans="1:11" s="347" customFormat="1" ht="14.25">
      <c r="A18" s="339" t="s">
        <v>80</v>
      </c>
      <c r="B18" s="340" t="s">
        <v>840</v>
      </c>
      <c r="C18" s="341" t="s">
        <v>836</v>
      </c>
      <c r="D18" s="342" t="s">
        <v>659</v>
      </c>
      <c r="E18" s="343">
        <v>1</v>
      </c>
      <c r="F18" s="344">
        <v>5000</v>
      </c>
      <c r="G18" s="344"/>
      <c r="H18" s="344">
        <f>F18*E18</f>
        <v>5000</v>
      </c>
      <c r="I18" s="346">
        <f t="shared" si="2"/>
        <v>5000</v>
      </c>
    </row>
    <row r="19" spans="1:11" s="338" customFormat="1" ht="15.75">
      <c r="A19" s="521" t="s">
        <v>844</v>
      </c>
      <c r="B19" s="522" t="s">
        <v>824</v>
      </c>
      <c r="C19" s="523" t="s">
        <v>843</v>
      </c>
      <c r="D19" s="522" t="s">
        <v>659</v>
      </c>
      <c r="E19" s="524">
        <v>1</v>
      </c>
      <c r="F19" s="525">
        <f>I19</f>
        <v>9529.1514999999999</v>
      </c>
      <c r="G19" s="525">
        <f>SUM(G20)</f>
        <v>2575.7599999999998</v>
      </c>
      <c r="H19" s="525">
        <f>SUM(H20:H26)</f>
        <v>4473.1115</v>
      </c>
      <c r="I19" s="525">
        <f>SUM(I20:I26)</f>
        <v>9529.1514999999999</v>
      </c>
      <c r="J19" s="336"/>
      <c r="K19" s="337"/>
    </row>
    <row r="20" spans="1:11" s="347" customFormat="1" ht="42.75">
      <c r="A20" s="339" t="s">
        <v>25</v>
      </c>
      <c r="B20" s="340"/>
      <c r="C20" s="341" t="s">
        <v>845</v>
      </c>
      <c r="D20" s="342" t="s">
        <v>660</v>
      </c>
      <c r="E20" s="343">
        <v>44</v>
      </c>
      <c r="F20" s="344">
        <v>58.54</v>
      </c>
      <c r="G20" s="344">
        <f>F20*E20</f>
        <v>2575.7599999999998</v>
      </c>
      <c r="H20" s="345"/>
      <c r="I20" s="346">
        <f t="shared" ref="I20:I26" si="3">G20+H20</f>
        <v>2575.7599999999998</v>
      </c>
      <c r="J20" s="517"/>
    </row>
    <row r="21" spans="1:11" s="347" customFormat="1" ht="14.25">
      <c r="A21" s="339" t="s">
        <v>25</v>
      </c>
      <c r="B21" s="340"/>
      <c r="C21" s="341" t="s">
        <v>846</v>
      </c>
      <c r="D21" s="342" t="s">
        <v>662</v>
      </c>
      <c r="E21" s="343">
        <f>3.65*44*0.65</f>
        <v>104.39</v>
      </c>
      <c r="F21" s="344">
        <v>19.13</v>
      </c>
      <c r="G21" s="344"/>
      <c r="H21" s="344">
        <f t="shared" ref="H21:H22" si="4">F21*E21</f>
        <v>1996.9806999999998</v>
      </c>
      <c r="I21" s="346">
        <f t="shared" si="3"/>
        <v>1996.9806999999998</v>
      </c>
      <c r="J21" s="517"/>
    </row>
    <row r="22" spans="1:11" s="347" customFormat="1" ht="14.25">
      <c r="A22" s="339" t="s">
        <v>25</v>
      </c>
      <c r="B22" s="340"/>
      <c r="C22" s="341" t="s">
        <v>834</v>
      </c>
      <c r="D22" s="342" t="s">
        <v>662</v>
      </c>
      <c r="E22" s="343">
        <f>E21</f>
        <v>104.39</v>
      </c>
      <c r="F22" s="344">
        <v>23.72</v>
      </c>
      <c r="G22" s="344"/>
      <c r="H22" s="344">
        <f t="shared" si="4"/>
        <v>2476.1307999999999</v>
      </c>
      <c r="I22" s="346">
        <f t="shared" si="3"/>
        <v>2476.1307999999999</v>
      </c>
      <c r="J22" s="517"/>
    </row>
    <row r="23" spans="1:11" s="347" customFormat="1" ht="28.5">
      <c r="A23" s="339" t="s">
        <v>25</v>
      </c>
      <c r="B23" s="340"/>
      <c r="C23" s="341" t="s">
        <v>847</v>
      </c>
      <c r="D23" s="342" t="s">
        <v>660</v>
      </c>
      <c r="E23" s="343">
        <f>1*44</f>
        <v>44</v>
      </c>
      <c r="F23" s="344">
        <v>32.229999999999997</v>
      </c>
      <c r="G23" s="344">
        <f>F23*E23</f>
        <v>1418.12</v>
      </c>
      <c r="H23" s="345"/>
      <c r="I23" s="346">
        <f t="shared" si="3"/>
        <v>1418.12</v>
      </c>
      <c r="J23" s="517"/>
    </row>
    <row r="24" spans="1:11" s="347" customFormat="1" ht="42.75">
      <c r="A24" s="339" t="s">
        <v>25</v>
      </c>
      <c r="B24" s="340"/>
      <c r="C24" s="341" t="s">
        <v>848</v>
      </c>
      <c r="D24" s="342" t="s">
        <v>661</v>
      </c>
      <c r="E24" s="343">
        <f>3*44</f>
        <v>132</v>
      </c>
      <c r="F24" s="344">
        <v>1.1499999999999999</v>
      </c>
      <c r="G24" s="344">
        <f t="shared" ref="G24:G26" si="5">F24*E24</f>
        <v>151.79999999999998</v>
      </c>
      <c r="H24" s="345"/>
      <c r="I24" s="346">
        <f t="shared" si="3"/>
        <v>151.79999999999998</v>
      </c>
      <c r="J24" s="517"/>
    </row>
    <row r="25" spans="1:11" s="347" customFormat="1" ht="28.5">
      <c r="A25" s="339" t="s">
        <v>25</v>
      </c>
      <c r="B25" s="340"/>
      <c r="C25" s="341" t="s">
        <v>849</v>
      </c>
      <c r="D25" s="342" t="s">
        <v>660</v>
      </c>
      <c r="E25" s="343">
        <f>1*44</f>
        <v>44</v>
      </c>
      <c r="F25" s="344">
        <v>17.54</v>
      </c>
      <c r="G25" s="344">
        <f t="shared" si="5"/>
        <v>771.76</v>
      </c>
      <c r="H25" s="345"/>
      <c r="I25" s="346">
        <f t="shared" si="3"/>
        <v>771.76</v>
      </c>
      <c r="J25" s="517"/>
    </row>
    <row r="26" spans="1:11" s="347" customFormat="1" ht="14.25">
      <c r="A26" s="339" t="s">
        <v>25</v>
      </c>
      <c r="B26" s="340"/>
      <c r="C26" s="341" t="s">
        <v>850</v>
      </c>
      <c r="D26" s="342" t="s">
        <v>661</v>
      </c>
      <c r="E26" s="343">
        <f>3*44</f>
        <v>132</v>
      </c>
      <c r="F26" s="344">
        <v>1.05</v>
      </c>
      <c r="G26" s="344">
        <f t="shared" si="5"/>
        <v>138.6</v>
      </c>
      <c r="H26" s="345"/>
      <c r="I26" s="346">
        <f t="shared" si="3"/>
        <v>138.6</v>
      </c>
      <c r="J26" s="517"/>
    </row>
    <row r="27" spans="1:11" s="347" customFormat="1" ht="15.75">
      <c r="A27" s="521" t="s">
        <v>1071</v>
      </c>
      <c r="B27" s="522" t="s">
        <v>824</v>
      </c>
      <c r="C27" s="523" t="s">
        <v>1072</v>
      </c>
      <c r="D27" s="522" t="s">
        <v>212</v>
      </c>
      <c r="E27" s="524">
        <v>1</v>
      </c>
      <c r="F27" s="525">
        <f>I27</f>
        <v>847.75878</v>
      </c>
      <c r="G27" s="525">
        <f>SUM(G28:G38)</f>
        <v>327.48</v>
      </c>
      <c r="H27" s="525">
        <f>SUM(H28:H38)</f>
        <v>520.27877999999998</v>
      </c>
      <c r="I27" s="525">
        <f>SUM(I28:I38)</f>
        <v>847.75878</v>
      </c>
      <c r="J27" s="336"/>
    </row>
    <row r="28" spans="1:11" s="347" customFormat="1" ht="28.5">
      <c r="A28" s="339" t="s">
        <v>1</v>
      </c>
      <c r="B28" s="340"/>
      <c r="C28" s="341" t="s">
        <v>1073</v>
      </c>
      <c r="D28" s="342" t="s">
        <v>944</v>
      </c>
      <c r="E28" s="343">
        <v>0.47799999999999998</v>
      </c>
      <c r="F28" s="344">
        <v>65</v>
      </c>
      <c r="G28" s="344">
        <f>F28*E28</f>
        <v>31.07</v>
      </c>
      <c r="H28" s="345"/>
      <c r="I28" s="346">
        <f t="shared" ref="I28:I38" si="6">G28+H28</f>
        <v>31.07</v>
      </c>
      <c r="J28" s="517"/>
    </row>
    <row r="29" spans="1:11" s="347" customFormat="1" ht="14.25">
      <c r="A29" s="339" t="s">
        <v>1</v>
      </c>
      <c r="B29" s="340"/>
      <c r="C29" s="341" t="s">
        <v>1074</v>
      </c>
      <c r="D29" s="342" t="s">
        <v>1075</v>
      </c>
      <c r="E29" s="343">
        <v>33.65</v>
      </c>
      <c r="F29" s="344">
        <v>0.33</v>
      </c>
      <c r="G29" s="344">
        <f t="shared" ref="G29:G31" si="7">F29*E29</f>
        <v>11.1045</v>
      </c>
      <c r="H29" s="344"/>
      <c r="I29" s="346">
        <f t="shared" si="6"/>
        <v>11.1045</v>
      </c>
      <c r="J29" s="517"/>
    </row>
    <row r="30" spans="1:11" s="347" customFormat="1" ht="14.25">
      <c r="A30" s="339" t="s">
        <v>1</v>
      </c>
      <c r="B30" s="340"/>
      <c r="C30" s="341" t="s">
        <v>1076</v>
      </c>
      <c r="D30" s="342" t="s">
        <v>1075</v>
      </c>
      <c r="E30" s="343">
        <v>69.540000000000006</v>
      </c>
      <c r="F30" s="344">
        <f>30/50</f>
        <v>0.6</v>
      </c>
      <c r="G30" s="344">
        <f t="shared" si="7"/>
        <v>41.724000000000004</v>
      </c>
      <c r="H30" s="344"/>
      <c r="I30" s="346">
        <f t="shared" si="6"/>
        <v>41.724000000000004</v>
      </c>
      <c r="J30" s="517"/>
    </row>
    <row r="31" spans="1:11" s="347" customFormat="1" ht="14.25">
      <c r="A31" s="339" t="s">
        <v>1</v>
      </c>
      <c r="B31" s="340"/>
      <c r="C31" s="341" t="s">
        <v>1077</v>
      </c>
      <c r="D31" s="342" t="s">
        <v>660</v>
      </c>
      <c r="E31" s="343">
        <v>14.5</v>
      </c>
      <c r="F31" s="344">
        <v>2.35</v>
      </c>
      <c r="G31" s="344">
        <f t="shared" si="7"/>
        <v>34.075000000000003</v>
      </c>
      <c r="H31" s="344"/>
      <c r="I31" s="346">
        <f t="shared" si="6"/>
        <v>34.075000000000003</v>
      </c>
      <c r="J31" s="517"/>
    </row>
    <row r="32" spans="1:11" s="347" customFormat="1" ht="14.25">
      <c r="A32" s="339" t="s">
        <v>1</v>
      </c>
      <c r="B32" s="340"/>
      <c r="C32" s="341" t="s">
        <v>941</v>
      </c>
      <c r="D32" s="342" t="s">
        <v>662</v>
      </c>
      <c r="E32" s="343">
        <v>6.8</v>
      </c>
      <c r="F32" s="344">
        <v>23.49</v>
      </c>
      <c r="G32" s="344"/>
      <c r="H32" s="344">
        <f t="shared" ref="H32:H33" si="8">F32*E32</f>
        <v>159.732</v>
      </c>
      <c r="I32" s="346">
        <f t="shared" si="6"/>
        <v>159.732</v>
      </c>
      <c r="J32" s="517"/>
    </row>
    <row r="33" spans="1:10" s="347" customFormat="1" ht="14.25">
      <c r="A33" s="339" t="s">
        <v>1</v>
      </c>
      <c r="B33" s="340"/>
      <c r="C33" s="341" t="s">
        <v>663</v>
      </c>
      <c r="D33" s="342" t="s">
        <v>662</v>
      </c>
      <c r="E33" s="343">
        <v>7.3</v>
      </c>
      <c r="F33" s="344">
        <v>18.18</v>
      </c>
      <c r="G33" s="344"/>
      <c r="H33" s="344">
        <f t="shared" si="8"/>
        <v>132.714</v>
      </c>
      <c r="I33" s="346">
        <f t="shared" si="6"/>
        <v>132.714</v>
      </c>
      <c r="J33" s="517"/>
    </row>
    <row r="34" spans="1:10" s="347" customFormat="1" ht="28.5">
      <c r="A34" s="339"/>
      <c r="B34" s="340">
        <v>7697</v>
      </c>
      <c r="C34" s="341" t="s">
        <v>1078</v>
      </c>
      <c r="D34" s="342" t="s">
        <v>661</v>
      </c>
      <c r="E34" s="343">
        <v>4.1656000000000004</v>
      </c>
      <c r="F34" s="344">
        <v>50.270690896869596</v>
      </c>
      <c r="G34" s="344">
        <f t="shared" ref="G34" si="9">F34*E34</f>
        <v>209.40759</v>
      </c>
      <c r="H34" s="344"/>
      <c r="I34" s="346">
        <f t="shared" si="6"/>
        <v>209.40759</v>
      </c>
      <c r="J34" s="517"/>
    </row>
    <row r="35" spans="1:10" s="347" customFormat="1" ht="14.25">
      <c r="A35" s="339"/>
      <c r="B35" s="340">
        <v>88309</v>
      </c>
      <c r="C35" s="341" t="s">
        <v>941</v>
      </c>
      <c r="D35" s="342" t="s">
        <v>662</v>
      </c>
      <c r="E35" s="343">
        <v>0.17780000000000001</v>
      </c>
      <c r="F35" s="344">
        <v>23.49</v>
      </c>
      <c r="G35" s="344"/>
      <c r="H35" s="344">
        <f t="shared" ref="H35:H37" si="10">F35*E35</f>
        <v>4.1765220000000003</v>
      </c>
      <c r="I35" s="346">
        <f t="shared" si="6"/>
        <v>4.1765220000000003</v>
      </c>
      <c r="J35" s="517"/>
    </row>
    <row r="36" spans="1:10" s="347" customFormat="1" ht="14.25">
      <c r="A36" s="339"/>
      <c r="B36" s="340">
        <v>88315</v>
      </c>
      <c r="C36" s="341" t="s">
        <v>1079</v>
      </c>
      <c r="D36" s="342" t="s">
        <v>662</v>
      </c>
      <c r="E36" s="343">
        <v>9.8916000000000004</v>
      </c>
      <c r="F36" s="344">
        <v>22.34</v>
      </c>
      <c r="G36" s="344"/>
      <c r="H36" s="344">
        <f t="shared" si="10"/>
        <v>220.97834400000002</v>
      </c>
      <c r="I36" s="346">
        <f t="shared" si="6"/>
        <v>220.97834400000002</v>
      </c>
      <c r="J36" s="517"/>
    </row>
    <row r="37" spans="1:10" s="347" customFormat="1" ht="14.25">
      <c r="A37" s="339"/>
      <c r="B37" s="340">
        <v>88316</v>
      </c>
      <c r="C37" s="341" t="s">
        <v>663</v>
      </c>
      <c r="D37" s="342" t="s">
        <v>662</v>
      </c>
      <c r="E37" s="343">
        <v>0.14729999999999999</v>
      </c>
      <c r="F37" s="344">
        <v>18.18</v>
      </c>
      <c r="G37" s="344"/>
      <c r="H37" s="344">
        <f t="shared" si="10"/>
        <v>2.6779139999999999</v>
      </c>
      <c r="I37" s="346">
        <f t="shared" si="6"/>
        <v>2.6779139999999999</v>
      </c>
      <c r="J37" s="517"/>
    </row>
    <row r="38" spans="1:10" s="347" customFormat="1" ht="28.5">
      <c r="A38" s="339"/>
      <c r="B38" s="340">
        <v>88631</v>
      </c>
      <c r="C38" s="341" t="s">
        <v>1080</v>
      </c>
      <c r="D38" s="342" t="s">
        <v>944</v>
      </c>
      <c r="E38" s="343">
        <v>2.5000000000000001E-4</v>
      </c>
      <c r="F38" s="344">
        <v>395.64</v>
      </c>
      <c r="G38" s="344">
        <f t="shared" ref="G38" si="11">F38*E38</f>
        <v>9.8909999999999998E-2</v>
      </c>
      <c r="H38" s="344"/>
      <c r="I38" s="346">
        <f t="shared" si="6"/>
        <v>9.8909999999999998E-2</v>
      </c>
      <c r="J38" s="517"/>
    </row>
  </sheetData>
  <mergeCells count="7">
    <mergeCell ref="G8:I8"/>
    <mergeCell ref="A8:A9"/>
    <mergeCell ref="B8:B9"/>
    <mergeCell ref="C8:C9"/>
    <mergeCell ref="D8:D9"/>
    <mergeCell ref="E8:E9"/>
    <mergeCell ref="F8:F9"/>
  </mergeCells>
  <phoneticPr fontId="71" type="noConversion"/>
  <conditionalFormatting sqref="B10">
    <cfRule type="cellIs" dxfId="13" priority="5" operator="equal">
      <formula>"INSERIR CÓDIGO!"</formula>
    </cfRule>
  </conditionalFormatting>
  <conditionalFormatting sqref="C10">
    <cfRule type="cellIs" dxfId="12" priority="6" operator="equal">
      <formula>"INSERIR CÓDIGO!"</formula>
    </cfRule>
  </conditionalFormatting>
  <conditionalFormatting sqref="C19">
    <cfRule type="cellIs" dxfId="11" priority="3" operator="equal">
      <formula>"INSERIR CÓDIGO!"</formula>
    </cfRule>
  </conditionalFormatting>
  <conditionalFormatting sqref="B19">
    <cfRule type="cellIs" dxfId="10" priority="4" operator="equal">
      <formula>"INSERIR CÓDIGO!"</formula>
    </cfRule>
  </conditionalFormatting>
  <conditionalFormatting sqref="C27">
    <cfRule type="cellIs" dxfId="9" priority="1" operator="equal">
      <formula>"INSERIR CÓDIGO!"</formula>
    </cfRule>
  </conditionalFormatting>
  <conditionalFormatting sqref="B27">
    <cfRule type="cellIs" dxfId="8" priority="2" operator="equal">
      <formula>"INSERIR CÓDIGO!"</formula>
    </cfRule>
  </conditionalFormatting>
  <printOptions horizontalCentered="1"/>
  <pageMargins left="0.39370078740157483" right="0.39370078740157483" top="1.1811023622047245" bottom="0.98425196850393704" header="0.98425196850393704" footer="0"/>
  <pageSetup paperSize="9" scale="63" fitToHeight="0" orientation="landscape" r:id="rId1"/>
  <headerFooter alignWithMargins="0">
    <oddFooter xml:space="preserve">&amp;CPÁGINA &amp;P DE &amp;N
&amp;RAssinatura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17</vt:i4>
      </vt:variant>
    </vt:vector>
  </HeadingPairs>
  <TitlesOfParts>
    <vt:vector size="32" baseType="lpstr">
      <vt:lpstr>RESUMO</vt:lpstr>
      <vt:lpstr>Serviços iniciais</vt:lpstr>
      <vt:lpstr>Habitação</vt:lpstr>
      <vt:lpstr>Infraestrutura</vt:lpstr>
      <vt:lpstr>Elementos diversos</vt:lpstr>
      <vt:lpstr>TABELA DE MEDIÇÃO E FATURAMENTO</vt:lpstr>
      <vt:lpstr>Planilha3</vt:lpstr>
      <vt:lpstr>Cronograma FF</vt:lpstr>
      <vt:lpstr>COMPOSIÇÕES DE PREÇOS INFRA</vt:lpstr>
      <vt:lpstr>COMPOSIÇÕES DE PREÇO UNITÁRIO</vt:lpstr>
      <vt:lpstr>NÃO INCIDENTE</vt:lpstr>
      <vt:lpstr>BDI - INFRAESTRUTURA</vt:lpstr>
      <vt:lpstr>BDI - HABITAÇÃO</vt:lpstr>
      <vt:lpstr>ENCARGOS SOCIAIS</vt:lpstr>
      <vt:lpstr>GERAL</vt:lpstr>
      <vt:lpstr>'BDI - HABITAÇÃO'!Area_de_impressao</vt:lpstr>
      <vt:lpstr>'BDI - INFRAESTRUTURA'!Area_de_impressao</vt:lpstr>
      <vt:lpstr>'COMPOSIÇÕES DE PREÇO UNITÁRIO'!Area_de_impressao</vt:lpstr>
      <vt:lpstr>'COMPOSIÇÕES DE PREÇOS INFRA'!Area_de_impressao</vt:lpstr>
      <vt:lpstr>'Elementos diversos'!Area_de_impressao</vt:lpstr>
      <vt:lpstr>'ENCARGOS SOCIAIS'!Area_de_impressao</vt:lpstr>
      <vt:lpstr>Habitação!Area_de_impressao</vt:lpstr>
      <vt:lpstr>Infraestrutura!Area_de_impressao</vt:lpstr>
      <vt:lpstr>'NÃO INCIDENTE'!Area_de_impressao</vt:lpstr>
      <vt:lpstr>RESUMO!Area_de_impressao</vt:lpstr>
      <vt:lpstr>'Serviços iniciais'!Area_de_impressao</vt:lpstr>
      <vt:lpstr>'TABELA DE MEDIÇÃO E FATURAMENTO'!Area_de_impressao</vt:lpstr>
      <vt:lpstr>RESUMO!Excel_BuiltIn__FilterDatabase_6</vt:lpstr>
      <vt:lpstr>'COMPOSIÇÕES DE PREÇO UNITÁRIO'!Titulos_de_impressao</vt:lpstr>
      <vt:lpstr>'COMPOSIÇÕES DE PREÇOS INFRA'!Titulos_de_impressao</vt:lpstr>
      <vt:lpstr>'Cronograma FF'!Titulos_de_impressao</vt:lpstr>
      <vt:lpstr>RESUMO!Titulos_de_impressao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Vickiane do Nascimento de Andrade</dc:creator>
  <cp:lastModifiedBy>Tercasa</cp:lastModifiedBy>
  <cp:lastPrinted>2020-08-17T14:12:11Z</cp:lastPrinted>
  <dcterms:created xsi:type="dcterms:W3CDTF">2017-07-18T20:37:12Z</dcterms:created>
  <dcterms:modified xsi:type="dcterms:W3CDTF">2020-10-26T18:49:45Z</dcterms:modified>
</cp:coreProperties>
</file>